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24226"/>
  <mc:AlternateContent xmlns:mc="http://schemas.openxmlformats.org/markup-compatibility/2006">
    <mc:Choice Requires="x15">
      <x15ac:absPath xmlns:x15ac="http://schemas.microsoft.com/office/spreadsheetml/2010/11/ac" url="C:\Users\psztorc\Documents\GitHub\public\www.BitcoinHivemind.com\papers\"/>
    </mc:Choice>
  </mc:AlternateContent>
  <xr:revisionPtr revIDLastSave="0" documentId="13_ncr:1_{4E6D9625-1141-4819-83CD-EF1C733FE65F}" xr6:coauthVersionLast="45" xr6:coauthVersionMax="45" xr10:uidLastSave="{00000000-0000-0000-0000-000000000000}"/>
  <bookViews>
    <workbookView xWindow="-28920" yWindow="-120" windowWidth="29040" windowHeight="15840" tabRatio="963" xr2:uid="{00000000-000D-0000-FFFF-FFFF00000000}"/>
  </bookViews>
  <sheets>
    <sheet name="Table of Contents" sheetId="23" r:id="rId1"/>
    <sheet name="Simple Example (Binary)" sheetId="10" r:id="rId2"/>
    <sheet name="Simple Example (Continuous)" sheetId="11" r:id="rId3"/>
    <sheet name="Portfolio Replication" sheetId="32" r:id="rId4"/>
    <sheet name="Futarchy" sheetId="12" r:id="rId5"/>
    <sheet name="Refunding Counterfactual Bets" sheetId="19" r:id="rId6"/>
    <sheet name="MV Scaled (Explicit)" sheetId="14" state="hidden" r:id="rId7"/>
    <sheet name="MV Scaled (Standard)" sheetId="21" state="hidden" r:id="rId8"/>
    <sheet name="Continuum Futarchy" sheetId="33" r:id="rId9"/>
    <sheet name="US Elections Example" sheetId="34" r:id="rId10"/>
    <sheet name="What is the LMSR" sheetId="6" r:id="rId11"/>
    <sheet name="Changing b mid-trading" sheetId="8" r:id="rId12"/>
    <sheet name="Liquidity Sensitivity" sheetId="20" r:id="rId13"/>
    <sheet name="Functions of Decisions" sheetId="24" r:id="rId14"/>
    <sheet name="Derivatives and Leverage" sheetId="28" r:id="rId15"/>
    <sheet name="Some Accounting Demonstrations" sheetId="7" r:id="rId16"/>
    <sheet name="Max Shares Outstanding" sheetId="22" r:id="rId17"/>
    <sheet name="Overround" sheetId="29" r:id="rId18"/>
    <sheet name="Overround w QMSR" sheetId="31" r:id="rId19"/>
    <sheet name="Blocksize Controversy" sheetId="25" r:id="rId20"/>
    <sheet name="Blocksize-usd-appendix" sheetId="26" r:id="rId21"/>
    <sheet name="Blocksize-appendix-2" sheetId="27" r:id="rId22"/>
    <sheet name="Conditional Charity" sheetId="15" r:id="rId23"/>
    <sheet name="Long Variability" sheetId="17" r:id="rId24"/>
    <sheet name="Insurance Fraud Experiments" sheetId="9" r:id="rId25"/>
    <sheet name="DistCalculator" sheetId="18" r:id="rId26"/>
    <sheet name="2x2 Update Calculator" sheetId="5" r:id="rId27"/>
  </sheets>
  <definedNames>
    <definedName name="solver_adj" localSheetId="22" hidden="1">'Conditional Charity'!$D$72:$E$73</definedName>
    <definedName name="solver_adj" localSheetId="14" hidden="1">'Derivatives and Leverage'!$M$32:$N$41</definedName>
    <definedName name="solver_adj" localSheetId="25" hidden="1">DistCalculator!$C$5:$C$8</definedName>
    <definedName name="solver_adj" localSheetId="4" hidden="1">Futarchy!$E$27:$H$50</definedName>
    <definedName name="solver_adj" localSheetId="23" hidden="1">'Long Variability'!$N$36:$Q$36</definedName>
    <definedName name="solver_adj" localSheetId="17" hidden="1">Overround!$AL$20:$AL$25</definedName>
    <definedName name="solver_adj" localSheetId="18" hidden="1">'Overround w QMSR'!$AL$22:$AL$27</definedName>
    <definedName name="solver_adj" localSheetId="3" hidden="1">'Portfolio Replication'!$C$22:$D$29</definedName>
    <definedName name="solver_adj" localSheetId="5" hidden="1">'Refunding Counterfactual Bets'!$I$33:$L$33</definedName>
    <definedName name="solver_adj" localSheetId="9" hidden="1">'US Elections Example'!$DE$135:$FX$136,'US Elections Example'!$D$44</definedName>
    <definedName name="solver_adj" localSheetId="10" hidden="1">'What is the LMSR'!$D$71:$G$71</definedName>
    <definedName name="solver_cvg" localSheetId="22" hidden="1">0.0001</definedName>
    <definedName name="solver_cvg" localSheetId="14" hidden="1">0.0001</definedName>
    <definedName name="solver_cvg" localSheetId="25" hidden="1">0.0001</definedName>
    <definedName name="solver_cvg" localSheetId="4" hidden="1">0.0001</definedName>
    <definedName name="solver_cvg" localSheetId="23" hidden="1">0.0001</definedName>
    <definedName name="solver_cvg" localSheetId="17" hidden="1">0.0001</definedName>
    <definedName name="solver_cvg" localSheetId="18" hidden="1">0.0001</definedName>
    <definedName name="solver_cvg" localSheetId="3" hidden="1">0.0001</definedName>
    <definedName name="solver_cvg" localSheetId="5" hidden="1">0.0001</definedName>
    <definedName name="solver_cvg" localSheetId="9" hidden="1">0.0001</definedName>
    <definedName name="solver_cvg" localSheetId="10" hidden="1">0.0001</definedName>
    <definedName name="solver_drv" localSheetId="22" hidden="1">2</definedName>
    <definedName name="solver_drv" localSheetId="14" hidden="1">2</definedName>
    <definedName name="solver_drv" localSheetId="25" hidden="1">2</definedName>
    <definedName name="solver_drv" localSheetId="4" hidden="1">2</definedName>
    <definedName name="solver_drv" localSheetId="23" hidden="1">1</definedName>
    <definedName name="solver_drv" localSheetId="17" hidden="1">1</definedName>
    <definedName name="solver_drv" localSheetId="18" hidden="1">1</definedName>
    <definedName name="solver_drv" localSheetId="3" hidden="1">1</definedName>
    <definedName name="solver_drv" localSheetId="5" hidden="1">1</definedName>
    <definedName name="solver_drv" localSheetId="9" hidden="1">2</definedName>
    <definedName name="solver_drv" localSheetId="10" hidden="1">1</definedName>
    <definedName name="solver_eng" localSheetId="22" hidden="1">1</definedName>
    <definedName name="solver_eng" localSheetId="14" hidden="1">1</definedName>
    <definedName name="solver_eng" localSheetId="25" hidden="1">1</definedName>
    <definedName name="solver_eng" localSheetId="4" hidden="1">1</definedName>
    <definedName name="solver_eng" localSheetId="12" hidden="1">1</definedName>
    <definedName name="solver_eng" localSheetId="23" hidden="1">1</definedName>
    <definedName name="solver_eng" localSheetId="16" hidden="1">1</definedName>
    <definedName name="solver_eng" localSheetId="17" hidden="1">1</definedName>
    <definedName name="solver_eng" localSheetId="18" hidden="1">1</definedName>
    <definedName name="solver_eng" localSheetId="3" hidden="1">1</definedName>
    <definedName name="solver_eng" localSheetId="5" hidden="1">1</definedName>
    <definedName name="solver_eng" localSheetId="9" hidden="1">1</definedName>
    <definedName name="solver_eng" localSheetId="10" hidden="1">1</definedName>
    <definedName name="solver_est" localSheetId="22" hidden="1">1</definedName>
    <definedName name="solver_est" localSheetId="14" hidden="1">1</definedName>
    <definedName name="solver_est" localSheetId="25" hidden="1">1</definedName>
    <definedName name="solver_est" localSheetId="4" hidden="1">1</definedName>
    <definedName name="solver_est" localSheetId="23" hidden="1">1</definedName>
    <definedName name="solver_est" localSheetId="17" hidden="1">1</definedName>
    <definedName name="solver_est" localSheetId="18" hidden="1">1</definedName>
    <definedName name="solver_est" localSheetId="3" hidden="1">1</definedName>
    <definedName name="solver_est" localSheetId="5" hidden="1">1</definedName>
    <definedName name="solver_est" localSheetId="9" hidden="1">1</definedName>
    <definedName name="solver_est" localSheetId="10" hidden="1">1</definedName>
    <definedName name="solver_itr" localSheetId="22" hidden="1">2147483647</definedName>
    <definedName name="solver_itr" localSheetId="14" hidden="1">2147483647</definedName>
    <definedName name="solver_itr" localSheetId="25" hidden="1">2147483647</definedName>
    <definedName name="solver_itr" localSheetId="4" hidden="1">2147483647</definedName>
    <definedName name="solver_itr" localSheetId="23" hidden="1">2147483647</definedName>
    <definedName name="solver_itr" localSheetId="17" hidden="1">2147483647</definedName>
    <definedName name="solver_itr" localSheetId="18" hidden="1">2147483647</definedName>
    <definedName name="solver_itr" localSheetId="3" hidden="1">2147483647</definedName>
    <definedName name="solver_itr" localSheetId="5" hidden="1">2147483647</definedName>
    <definedName name="solver_itr" localSheetId="9" hidden="1">2147483647</definedName>
    <definedName name="solver_itr" localSheetId="10" hidden="1">2147483647</definedName>
    <definedName name="solver_lhs1" localSheetId="22" hidden="1">'Conditional Charity'!$D$72:$E$73</definedName>
    <definedName name="solver_lhs1" localSheetId="25" hidden="1">DistCalculator!$G$5:$G$6</definedName>
    <definedName name="solver_lhs1" localSheetId="4" hidden="1">Futarchy!$O$62:$O$84</definedName>
    <definedName name="solver_lhs1" localSheetId="23" hidden="1">'Long Variability'!$C$36</definedName>
    <definedName name="solver_lhs1" localSheetId="5" hidden="1">'Refunding Counterfactual Bets'!$F$33</definedName>
    <definedName name="solver_lhs1" localSheetId="9" hidden="1">'US Elections Example'!$AD$142</definedName>
    <definedName name="solver_lhs1" localSheetId="10" hidden="1">'What is the LMSR'!$D$70:$G$70</definedName>
    <definedName name="solver_lhs10" localSheetId="23" hidden="1">'Long Variability'!$N$42:$Q$42</definedName>
    <definedName name="solver_lhs11" localSheetId="23" hidden="1">'Long Variability'!$N$43:$Q$43</definedName>
    <definedName name="solver_lhs12" localSheetId="23" hidden="1">'Long Variability'!$O$36:$O$44</definedName>
    <definedName name="solver_lhs2" localSheetId="22" hidden="1">'Conditional Charity'!$K$67:$L$68</definedName>
    <definedName name="solver_lhs2" localSheetId="25" hidden="1">DistCalculator!$C$7</definedName>
    <definedName name="solver_lhs2" localSheetId="4" hidden="1">Futarchy!$O$62:$O$84</definedName>
    <definedName name="solver_lhs2" localSheetId="23" hidden="1">'Long Variability'!$N$36:$Q$36</definedName>
    <definedName name="solver_lhs2" localSheetId="5" hidden="1">'Refunding Counterfactual Bets'!$I$32:$L$32</definedName>
    <definedName name="solver_lhs2" localSheetId="9" hidden="1">'US Elections Example'!$AD$142</definedName>
    <definedName name="solver_lhs2" localSheetId="10" hidden="1">'What is the LMSR'!$I$94</definedName>
    <definedName name="solver_lhs3" localSheetId="22" hidden="1">'Conditional Charity'!#REF!</definedName>
    <definedName name="solver_lhs3" localSheetId="25" hidden="1">DistCalculator!$C$8</definedName>
    <definedName name="solver_lhs3" localSheetId="23" hidden="1">'Long Variability'!$P$36</definedName>
    <definedName name="solver_lhs3" localSheetId="5" hidden="1">'Refunding Counterfactual Bets'!$N$127</definedName>
    <definedName name="solver_lhs3" localSheetId="9" hidden="1">'US Elections Example'!$AD$143:$AD$145</definedName>
    <definedName name="solver_lhs3" localSheetId="10" hidden="1">'What is the LMSR'!$L$98</definedName>
    <definedName name="solver_lhs4" localSheetId="25" hidden="1">DistCalculator!$C$8</definedName>
    <definedName name="solver_lhs4" localSheetId="23" hidden="1">'Long Variability'!$N$36:$Q$44</definedName>
    <definedName name="solver_lhs4" localSheetId="5" hidden="1">'Refunding Counterfactual Bets'!$P$36</definedName>
    <definedName name="solver_lhs4" localSheetId="9" hidden="1">'US Elections Example'!$AI$139</definedName>
    <definedName name="solver_lhs5" localSheetId="25" hidden="1">DistCalculator!$C$8</definedName>
    <definedName name="solver_lhs5" localSheetId="23" hidden="1">'Long Variability'!$N$37:$Q$37</definedName>
    <definedName name="solver_lhs6" localSheetId="23" hidden="1">'Long Variability'!$N$38:$Q$38</definedName>
    <definedName name="solver_lhs7" localSheetId="23" hidden="1">'Long Variability'!$N$39:$Q$39</definedName>
    <definedName name="solver_lhs8" localSheetId="23" hidden="1">'Long Variability'!$N$40:$Q$40</definedName>
    <definedName name="solver_lhs9" localSheetId="23" hidden="1">'Long Variability'!$N$41:$Q$41</definedName>
    <definedName name="solver_lin" localSheetId="5" hidden="1">2</definedName>
    <definedName name="solver_lin" localSheetId="9" hidden="1">2</definedName>
    <definedName name="solver_mip" localSheetId="22" hidden="1">2147483647</definedName>
    <definedName name="solver_mip" localSheetId="14" hidden="1">2147483647</definedName>
    <definedName name="solver_mip" localSheetId="25" hidden="1">2147483647</definedName>
    <definedName name="solver_mip" localSheetId="4" hidden="1">2147483647</definedName>
    <definedName name="solver_mip" localSheetId="23" hidden="1">2147483647</definedName>
    <definedName name="solver_mip" localSheetId="17" hidden="1">2147483647</definedName>
    <definedName name="solver_mip" localSheetId="18" hidden="1">2147483647</definedName>
    <definedName name="solver_mip" localSheetId="3" hidden="1">2147483647</definedName>
    <definedName name="solver_mip" localSheetId="5" hidden="1">2147483647</definedName>
    <definedName name="solver_mip" localSheetId="9" hidden="1">2147483647</definedName>
    <definedName name="solver_mip" localSheetId="10" hidden="1">2147483647</definedName>
    <definedName name="solver_mni" localSheetId="22" hidden="1">30</definedName>
    <definedName name="solver_mni" localSheetId="14" hidden="1">30</definedName>
    <definedName name="solver_mni" localSheetId="25" hidden="1">30</definedName>
    <definedName name="solver_mni" localSheetId="4" hidden="1">30</definedName>
    <definedName name="solver_mni" localSheetId="23" hidden="1">30</definedName>
    <definedName name="solver_mni" localSheetId="17" hidden="1">30</definedName>
    <definedName name="solver_mni" localSheetId="18" hidden="1">30</definedName>
    <definedName name="solver_mni" localSheetId="3" hidden="1">30</definedName>
    <definedName name="solver_mni" localSheetId="5" hidden="1">30</definedName>
    <definedName name="solver_mni" localSheetId="9" hidden="1">30</definedName>
    <definedName name="solver_mni" localSheetId="10" hidden="1">30</definedName>
    <definedName name="solver_mrt" localSheetId="22" hidden="1">0.075</definedName>
    <definedName name="solver_mrt" localSheetId="14" hidden="1">0.075</definedName>
    <definedName name="solver_mrt" localSheetId="25" hidden="1">0.075</definedName>
    <definedName name="solver_mrt" localSheetId="4" hidden="1">0.075</definedName>
    <definedName name="solver_mrt" localSheetId="23" hidden="1">0.075</definedName>
    <definedName name="solver_mrt" localSheetId="17" hidden="1">0.075</definedName>
    <definedName name="solver_mrt" localSheetId="18" hidden="1">0.075</definedName>
    <definedName name="solver_mrt" localSheetId="3" hidden="1">0.075</definedName>
    <definedName name="solver_mrt" localSheetId="5" hidden="1">0.075</definedName>
    <definedName name="solver_mrt" localSheetId="9" hidden="1">0.075</definedName>
    <definedName name="solver_mrt" localSheetId="10" hidden="1">0.075</definedName>
    <definedName name="solver_msl" localSheetId="22" hidden="1">2</definedName>
    <definedName name="solver_msl" localSheetId="14" hidden="1">2</definedName>
    <definedName name="solver_msl" localSheetId="25" hidden="1">2</definedName>
    <definedName name="solver_msl" localSheetId="4" hidden="1">2</definedName>
    <definedName name="solver_msl" localSheetId="23" hidden="1">2</definedName>
    <definedName name="solver_msl" localSheetId="17" hidden="1">2</definedName>
    <definedName name="solver_msl" localSheetId="18" hidden="1">2</definedName>
    <definedName name="solver_msl" localSheetId="3" hidden="1">2</definedName>
    <definedName name="solver_msl" localSheetId="5" hidden="1">2</definedName>
    <definedName name="solver_msl" localSheetId="9" hidden="1">2</definedName>
    <definedName name="solver_msl" localSheetId="10" hidden="1">2</definedName>
    <definedName name="solver_neg" localSheetId="22" hidden="1">1</definedName>
    <definedName name="solver_neg" localSheetId="14" hidden="1">1</definedName>
    <definedName name="solver_neg" localSheetId="25" hidden="1">2</definedName>
    <definedName name="solver_neg" localSheetId="4" hidden="1">1</definedName>
    <definedName name="solver_neg" localSheetId="12" hidden="1">1</definedName>
    <definedName name="solver_neg" localSheetId="23" hidden="1">1</definedName>
    <definedName name="solver_neg" localSheetId="16" hidden="1">1</definedName>
    <definedName name="solver_neg" localSheetId="17" hidden="1">1</definedName>
    <definedName name="solver_neg" localSheetId="18" hidden="1">1</definedName>
    <definedName name="solver_neg" localSheetId="3" hidden="1">1</definedName>
    <definedName name="solver_neg" localSheetId="5" hidden="1">2</definedName>
    <definedName name="solver_neg" localSheetId="9" hidden="1">1</definedName>
    <definedName name="solver_neg" localSheetId="10" hidden="1">1</definedName>
    <definedName name="solver_nod" localSheetId="22" hidden="1">2147483647</definedName>
    <definedName name="solver_nod" localSheetId="14" hidden="1">2147483647</definedName>
    <definedName name="solver_nod" localSheetId="25" hidden="1">2147483647</definedName>
    <definedName name="solver_nod" localSheetId="4" hidden="1">2147483647</definedName>
    <definedName name="solver_nod" localSheetId="23" hidden="1">2147483647</definedName>
    <definedName name="solver_nod" localSheetId="17" hidden="1">2147483647</definedName>
    <definedName name="solver_nod" localSheetId="18" hidden="1">2147483647</definedName>
    <definedName name="solver_nod" localSheetId="3" hidden="1">2147483647</definedName>
    <definedName name="solver_nod" localSheetId="5" hidden="1">2147483647</definedName>
    <definedName name="solver_nod" localSheetId="9" hidden="1">2147483647</definedName>
    <definedName name="solver_nod" localSheetId="10" hidden="1">2147483647</definedName>
    <definedName name="solver_num" localSheetId="22" hidden="1">2</definedName>
    <definedName name="solver_num" localSheetId="14" hidden="1">0</definedName>
    <definedName name="solver_num" localSheetId="25" hidden="1">1</definedName>
    <definedName name="solver_num" localSheetId="4" hidden="1">0</definedName>
    <definedName name="solver_num" localSheetId="12" hidden="1">0</definedName>
    <definedName name="solver_num" localSheetId="23" hidden="1">3</definedName>
    <definedName name="solver_num" localSheetId="16" hidden="1">0</definedName>
    <definedName name="solver_num" localSheetId="17" hidden="1">0</definedName>
    <definedName name="solver_num" localSheetId="18" hidden="1">0</definedName>
    <definedName name="solver_num" localSheetId="3" hidden="1">0</definedName>
    <definedName name="solver_num" localSheetId="5" hidden="1">2</definedName>
    <definedName name="solver_num" localSheetId="9" hidden="1">4</definedName>
    <definedName name="solver_num" localSheetId="10" hidden="1">3</definedName>
    <definedName name="solver_nwt" localSheetId="22" hidden="1">1</definedName>
    <definedName name="solver_nwt" localSheetId="14" hidden="1">1</definedName>
    <definedName name="solver_nwt" localSheetId="25" hidden="1">1</definedName>
    <definedName name="solver_nwt" localSheetId="4" hidden="1">1</definedName>
    <definedName name="solver_nwt" localSheetId="23" hidden="1">1</definedName>
    <definedName name="solver_nwt" localSheetId="17" hidden="1">1</definedName>
    <definedName name="solver_nwt" localSheetId="18" hidden="1">1</definedName>
    <definedName name="solver_nwt" localSheetId="3" hidden="1">1</definedName>
    <definedName name="solver_nwt" localSheetId="5" hidden="1">1</definedName>
    <definedName name="solver_nwt" localSheetId="9" hidden="1">1</definedName>
    <definedName name="solver_nwt" localSheetId="10" hidden="1">1</definedName>
    <definedName name="solver_opt" localSheetId="22" hidden="1">'Conditional Charity'!$K$79</definedName>
    <definedName name="solver_opt" localSheetId="14" hidden="1">'Derivatives and Leverage'!$Y$41</definedName>
    <definedName name="solver_opt" localSheetId="25" hidden="1">DistCalculator!$K$5</definedName>
    <definedName name="solver_opt" localSheetId="4" hidden="1">Futarchy!$S$84</definedName>
    <definedName name="solver_opt" localSheetId="12" hidden="1">'Liquidity Sensitivity'!$Q$41</definedName>
    <definedName name="solver_opt" localSheetId="23" hidden="1">'Long Variability'!$L$36</definedName>
    <definedName name="solver_opt" localSheetId="16" hidden="1">'Max Shares Outstanding'!$S$41</definedName>
    <definedName name="solver_opt" localSheetId="17" hidden="1">Overround!$AI$19</definedName>
    <definedName name="solver_opt" localSheetId="18" hidden="1">'Overround w QMSR'!$AI$21</definedName>
    <definedName name="solver_opt" localSheetId="3" hidden="1">'Portfolio Replication'!$Z$51</definedName>
    <definedName name="solver_opt" localSheetId="5" hidden="1">'Refunding Counterfactual Bets'!$V$33</definedName>
    <definedName name="solver_opt" localSheetId="9" hidden="1">'US Elections Example'!$AK$146</definedName>
    <definedName name="solver_opt" localSheetId="10" hidden="1">'What is the LMSR'!$M$71</definedName>
    <definedName name="solver_pre" localSheetId="22" hidden="1">0.000001</definedName>
    <definedName name="solver_pre" localSheetId="14" hidden="1">0.000001</definedName>
    <definedName name="solver_pre" localSheetId="25" hidden="1">0.000001</definedName>
    <definedName name="solver_pre" localSheetId="4" hidden="1">0.000001</definedName>
    <definedName name="solver_pre" localSheetId="23" hidden="1">0.000001</definedName>
    <definedName name="solver_pre" localSheetId="17" hidden="1">0.000001</definedName>
    <definedName name="solver_pre" localSheetId="18" hidden="1">0.000001</definedName>
    <definedName name="solver_pre" localSheetId="3" hidden="1">0.000001</definedName>
    <definedName name="solver_pre" localSheetId="5" hidden="1">0.000001</definedName>
    <definedName name="solver_pre" localSheetId="9" hidden="1">0.000001</definedName>
    <definedName name="solver_pre" localSheetId="10" hidden="1">0.000001</definedName>
    <definedName name="solver_rbv" localSheetId="22" hidden="1">2</definedName>
    <definedName name="solver_rbv" localSheetId="14" hidden="1">2</definedName>
    <definedName name="solver_rbv" localSheetId="25" hidden="1">2</definedName>
    <definedName name="solver_rbv" localSheetId="4" hidden="1">2</definedName>
    <definedName name="solver_rbv" localSheetId="23" hidden="1">1</definedName>
    <definedName name="solver_rbv" localSheetId="17" hidden="1">1</definedName>
    <definedName name="solver_rbv" localSheetId="18" hidden="1">1</definedName>
    <definedName name="solver_rbv" localSheetId="3" hidden="1">1</definedName>
    <definedName name="solver_rbv" localSheetId="5" hidden="1">1</definedName>
    <definedName name="solver_rbv" localSheetId="9" hidden="1">2</definedName>
    <definedName name="solver_rbv" localSheetId="10" hidden="1">1</definedName>
    <definedName name="solver_rel1" localSheetId="22" hidden="1">3</definedName>
    <definedName name="solver_rel1" localSheetId="25" hidden="1">2</definedName>
    <definedName name="solver_rel1" localSheetId="4" hidden="1">3</definedName>
    <definedName name="solver_rel1" localSheetId="23" hidden="1">2</definedName>
    <definedName name="solver_rel1" localSheetId="5" hidden="1">2</definedName>
    <definedName name="solver_rel1" localSheetId="9" hidden="1">1</definedName>
    <definedName name="solver_rel1" localSheetId="10" hidden="1">1</definedName>
    <definedName name="solver_rel10" localSheetId="23" hidden="1">1</definedName>
    <definedName name="solver_rel11" localSheetId="23" hidden="1">1</definedName>
    <definedName name="solver_rel12" localSheetId="23" hidden="1">3</definedName>
    <definedName name="solver_rel2" localSheetId="22" hidden="1">2</definedName>
    <definedName name="solver_rel2" localSheetId="25" hidden="1">3</definedName>
    <definedName name="solver_rel2" localSheetId="4" hidden="1">3</definedName>
    <definedName name="solver_rel2" localSheetId="23" hidden="1">3</definedName>
    <definedName name="solver_rel2" localSheetId="5" hidden="1">1</definedName>
    <definedName name="solver_rel2" localSheetId="9" hidden="1">3</definedName>
    <definedName name="solver_rel2" localSheetId="10" hidden="1">2</definedName>
    <definedName name="solver_rel3" localSheetId="22" hidden="1">2</definedName>
    <definedName name="solver_rel3" localSheetId="25" hidden="1">3</definedName>
    <definedName name="solver_rel3" localSheetId="23" hidden="1">1</definedName>
    <definedName name="solver_rel3" localSheetId="5" hidden="1">2</definedName>
    <definedName name="solver_rel3" localSheetId="9" hidden="1">2</definedName>
    <definedName name="solver_rel3" localSheetId="10" hidden="1">2</definedName>
    <definedName name="solver_rel4" localSheetId="25" hidden="1">3</definedName>
    <definedName name="solver_rel4" localSheetId="23" hidden="1">1</definedName>
    <definedName name="solver_rel4" localSheetId="5" hidden="1">2</definedName>
    <definedName name="solver_rel4" localSheetId="9" hidden="1">1</definedName>
    <definedName name="solver_rel5" localSheetId="25" hidden="1">3</definedName>
    <definedName name="solver_rel5" localSheetId="23" hidden="1">1</definedName>
    <definedName name="solver_rel6" localSheetId="23" hidden="1">1</definedName>
    <definedName name="solver_rel7" localSheetId="23" hidden="1">1</definedName>
    <definedName name="solver_rel8" localSheetId="23" hidden="1">1</definedName>
    <definedName name="solver_rel9" localSheetId="23" hidden="1">1</definedName>
    <definedName name="solver_rhs1" localSheetId="22" hidden="1">'Conditional Charity'!$D$62:$E$63</definedName>
    <definedName name="solver_rhs1" localSheetId="25" hidden="1">DistCalculator!$I$5:$I$6</definedName>
    <definedName name="solver_rhs1" localSheetId="4" hidden="1">0.04</definedName>
    <definedName name="solver_rhs1" localSheetId="23" hidden="1">'Long Variability'!$H$36</definedName>
    <definedName name="solver_rhs1" localSheetId="5" hidden="1">0</definedName>
    <definedName name="solver_rhs1" localSheetId="9" hidden="1">1.05</definedName>
    <definedName name="solver_rhs1" localSheetId="10" hidden="1">'What is the LMSR'!$D$71:$G$71</definedName>
    <definedName name="solver_rhs10" localSheetId="23" hidden="1">'Long Variability'!$N$43:$Q$43</definedName>
    <definedName name="solver_rhs11" localSheetId="23" hidden="1">'Long Variability'!$N$44:$Q$44</definedName>
    <definedName name="solver_rhs12" localSheetId="23" hidden="1">'Long Variability'!$P$36:$P$44</definedName>
    <definedName name="solver_rhs2" localSheetId="22" hidden="1">'Conditional Charity'!$K$72:$L$73</definedName>
    <definedName name="solver_rhs2" localSheetId="25" hidden="1">DistCalculator!$C$6</definedName>
    <definedName name="solver_rhs2" localSheetId="4" hidden="1">0.04</definedName>
    <definedName name="solver_rhs2" localSheetId="23" hidden="1">'Long Variability'!$N$35:$Q$35</definedName>
    <definedName name="solver_rhs2" localSheetId="5" hidden="1">'Refunding Counterfactual Bets'!$I$33:$L$33</definedName>
    <definedName name="solver_rhs2" localSheetId="9" hidden="1">1.01</definedName>
    <definedName name="solver_rhs2" localSheetId="10" hidden="1">'What is the LMSR'!$I$100</definedName>
    <definedName name="solver_rhs3" localSheetId="22" hidden="1">0</definedName>
    <definedName name="solver_rhs3" localSheetId="25" hidden="1">DistCalculator!$C$7</definedName>
    <definedName name="solver_rhs3" localSheetId="23" hidden="1">'Long Variability'!$O$36</definedName>
    <definedName name="solver_rhs3" localSheetId="5" hidden="1">'Refunding Counterfactual Bets'!$N$135</definedName>
    <definedName name="solver_rhs3" localSheetId="9" hidden="1">1</definedName>
    <definedName name="solver_rhs3" localSheetId="10" hidden="1">'What is the LMSR'!$L$106</definedName>
    <definedName name="solver_rhs4" localSheetId="25" hidden="1">DistCalculator!$C$7</definedName>
    <definedName name="solver_rhs4" localSheetId="23" hidden="1">60</definedName>
    <definedName name="solver_rhs4" localSheetId="5" hidden="1">'Refunding Counterfactual Bets'!$E$36</definedName>
    <definedName name="solver_rhs4" localSheetId="9" hidden="1">500</definedName>
    <definedName name="solver_rhs5" localSheetId="25" hidden="1">DistCalculator!$C$7</definedName>
    <definedName name="solver_rhs5" localSheetId="23" hidden="1">'Long Variability'!$N$38:$Q$38</definedName>
    <definedName name="solver_rhs6" localSheetId="23" hidden="1">'Long Variability'!$N$39:$Q$39</definedName>
    <definedName name="solver_rhs7" localSheetId="23" hidden="1">'Long Variability'!$N$40:$Q$40</definedName>
    <definedName name="solver_rhs8" localSheetId="23" hidden="1">'Long Variability'!$N$41:$Q$41</definedName>
    <definedName name="solver_rhs9" localSheetId="23" hidden="1">'Long Variability'!$N$42:$Q$42</definedName>
    <definedName name="solver_rlx" localSheetId="22" hidden="1">2</definedName>
    <definedName name="solver_rlx" localSheetId="14" hidden="1">2</definedName>
    <definedName name="solver_rlx" localSheetId="25" hidden="1">2</definedName>
    <definedName name="solver_rlx" localSheetId="4" hidden="1">2</definedName>
    <definedName name="solver_rlx" localSheetId="23" hidden="1">2</definedName>
    <definedName name="solver_rlx" localSheetId="17" hidden="1">2</definedName>
    <definedName name="solver_rlx" localSheetId="18" hidden="1">2</definedName>
    <definedName name="solver_rlx" localSheetId="3" hidden="1">2</definedName>
    <definedName name="solver_rlx" localSheetId="5" hidden="1">2</definedName>
    <definedName name="solver_rlx" localSheetId="9" hidden="1">2</definedName>
    <definedName name="solver_rlx" localSheetId="10" hidden="1">2</definedName>
    <definedName name="solver_rsd" localSheetId="22" hidden="1">0</definedName>
    <definedName name="solver_rsd" localSheetId="14" hidden="1">0</definedName>
    <definedName name="solver_rsd" localSheetId="25" hidden="1">0</definedName>
    <definedName name="solver_rsd" localSheetId="4" hidden="1">0</definedName>
    <definedName name="solver_rsd" localSheetId="23" hidden="1">0</definedName>
    <definedName name="solver_rsd" localSheetId="17" hidden="1">0</definedName>
    <definedName name="solver_rsd" localSheetId="18" hidden="1">0</definedName>
    <definedName name="solver_rsd" localSheetId="3" hidden="1">0</definedName>
    <definedName name="solver_rsd" localSheetId="5" hidden="1">0</definedName>
    <definedName name="solver_rsd" localSheetId="9" hidden="1">0</definedName>
    <definedName name="solver_rsd" localSheetId="10" hidden="1">0</definedName>
    <definedName name="solver_scl" localSheetId="22" hidden="1">2</definedName>
    <definedName name="solver_scl" localSheetId="14" hidden="1">2</definedName>
    <definedName name="solver_scl" localSheetId="25" hidden="1">2</definedName>
    <definedName name="solver_scl" localSheetId="4" hidden="1">2</definedName>
    <definedName name="solver_scl" localSheetId="23" hidden="1">1</definedName>
    <definedName name="solver_scl" localSheetId="17" hidden="1">1</definedName>
    <definedName name="solver_scl" localSheetId="18" hidden="1">1</definedName>
    <definedName name="solver_scl" localSheetId="3" hidden="1">1</definedName>
    <definedName name="solver_scl" localSheetId="5" hidden="1">1</definedName>
    <definedName name="solver_scl" localSheetId="9" hidden="1">2</definedName>
    <definedName name="solver_scl" localSheetId="10" hidden="1">1</definedName>
    <definedName name="solver_sho" localSheetId="22" hidden="1">2</definedName>
    <definedName name="solver_sho" localSheetId="14" hidden="1">2</definedName>
    <definedName name="solver_sho" localSheetId="25" hidden="1">2</definedName>
    <definedName name="solver_sho" localSheetId="4" hidden="1">2</definedName>
    <definedName name="solver_sho" localSheetId="23" hidden="1">2</definedName>
    <definedName name="solver_sho" localSheetId="17" hidden="1">2</definedName>
    <definedName name="solver_sho" localSheetId="18" hidden="1">2</definedName>
    <definedName name="solver_sho" localSheetId="3" hidden="1">2</definedName>
    <definedName name="solver_sho" localSheetId="5" hidden="1">2</definedName>
    <definedName name="solver_sho" localSheetId="9" hidden="1">2</definedName>
    <definedName name="solver_sho" localSheetId="10" hidden="1">2</definedName>
    <definedName name="solver_ssz" localSheetId="22" hidden="1">100</definedName>
    <definedName name="solver_ssz" localSheetId="14" hidden="1">100</definedName>
    <definedName name="solver_ssz" localSheetId="25" hidden="1">100</definedName>
    <definedName name="solver_ssz" localSheetId="4" hidden="1">100</definedName>
    <definedName name="solver_ssz" localSheetId="23" hidden="1">100</definedName>
    <definedName name="solver_ssz" localSheetId="17" hidden="1">100</definedName>
    <definedName name="solver_ssz" localSheetId="18" hidden="1">100</definedName>
    <definedName name="solver_ssz" localSheetId="3" hidden="1">100</definedName>
    <definedName name="solver_ssz" localSheetId="5" hidden="1">100</definedName>
    <definedName name="solver_ssz" localSheetId="9" hidden="1">100</definedName>
    <definedName name="solver_ssz" localSheetId="10" hidden="1">100</definedName>
    <definedName name="solver_tim" localSheetId="22" hidden="1">2147483647</definedName>
    <definedName name="solver_tim" localSheetId="14" hidden="1">2147483647</definedName>
    <definedName name="solver_tim" localSheetId="25" hidden="1">2147483647</definedName>
    <definedName name="solver_tim" localSheetId="4" hidden="1">2147483647</definedName>
    <definedName name="solver_tim" localSheetId="23" hidden="1">2147483647</definedName>
    <definedName name="solver_tim" localSheetId="17" hidden="1">2147483647</definedName>
    <definedName name="solver_tim" localSheetId="18" hidden="1">2147483647</definedName>
    <definedName name="solver_tim" localSheetId="3" hidden="1">2147483647</definedName>
    <definedName name="solver_tim" localSheetId="5" hidden="1">2147483647</definedName>
    <definedName name="solver_tim" localSheetId="9" hidden="1">2147483647</definedName>
    <definedName name="solver_tim" localSheetId="10" hidden="1">2147483647</definedName>
    <definedName name="solver_tol" localSheetId="22" hidden="1">0.01</definedName>
    <definedName name="solver_tol" localSheetId="14" hidden="1">0.01</definedName>
    <definedName name="solver_tol" localSheetId="25" hidden="1">0.01</definedName>
    <definedName name="solver_tol" localSheetId="4" hidden="1">0.01</definedName>
    <definedName name="solver_tol" localSheetId="23" hidden="1">0.01</definedName>
    <definedName name="solver_tol" localSheetId="17" hidden="1">0.01</definedName>
    <definedName name="solver_tol" localSheetId="18" hidden="1">0.01</definedName>
    <definedName name="solver_tol" localSheetId="3" hidden="1">0.01</definedName>
    <definedName name="solver_tol" localSheetId="5" hidden="1">0.01</definedName>
    <definedName name="solver_tol" localSheetId="9" hidden="1">0.01</definedName>
    <definedName name="solver_tol" localSheetId="10" hidden="1">0.01</definedName>
    <definedName name="solver_typ" localSheetId="22" hidden="1">2</definedName>
    <definedName name="solver_typ" localSheetId="14" hidden="1">2</definedName>
    <definedName name="solver_typ" localSheetId="25" hidden="1">2</definedName>
    <definedName name="solver_typ" localSheetId="4" hidden="1">2</definedName>
    <definedName name="solver_typ" localSheetId="12" hidden="1">1</definedName>
    <definedName name="solver_typ" localSheetId="23" hidden="1">2</definedName>
    <definedName name="solver_typ" localSheetId="16" hidden="1">1</definedName>
    <definedName name="solver_typ" localSheetId="17" hidden="1">2</definedName>
    <definedName name="solver_typ" localSheetId="18" hidden="1">2</definedName>
    <definedName name="solver_typ" localSheetId="3" hidden="1">2</definedName>
    <definedName name="solver_typ" localSheetId="5" hidden="1">2</definedName>
    <definedName name="solver_typ" localSheetId="9" hidden="1">1</definedName>
    <definedName name="solver_typ" localSheetId="10" hidden="1">2</definedName>
    <definedName name="solver_val" localSheetId="22" hidden="1">0</definedName>
    <definedName name="solver_val" localSheetId="14" hidden="1">0</definedName>
    <definedName name="solver_val" localSheetId="25" hidden="1">0</definedName>
    <definedName name="solver_val" localSheetId="4" hidden="1">0</definedName>
    <definedName name="solver_val" localSheetId="12" hidden="1">0</definedName>
    <definedName name="solver_val" localSheetId="23" hidden="1">0</definedName>
    <definedName name="solver_val" localSheetId="16" hidden="1">0</definedName>
    <definedName name="solver_val" localSheetId="17" hidden="1">0</definedName>
    <definedName name="solver_val" localSheetId="18" hidden="1">0</definedName>
    <definedName name="solver_val" localSheetId="3" hidden="1">0</definedName>
    <definedName name="solver_val" localSheetId="5" hidden="1">0</definedName>
    <definedName name="solver_val" localSheetId="9" hidden="1">0</definedName>
    <definedName name="solver_val" localSheetId="10" hidden="1">0</definedName>
    <definedName name="solver_ver" localSheetId="22" hidden="1">3</definedName>
    <definedName name="solver_ver" localSheetId="14" hidden="1">3</definedName>
    <definedName name="solver_ver" localSheetId="25" hidden="1">3</definedName>
    <definedName name="solver_ver" localSheetId="4" hidden="1">3</definedName>
    <definedName name="solver_ver" localSheetId="12" hidden="1">3</definedName>
    <definedName name="solver_ver" localSheetId="23" hidden="1">3</definedName>
    <definedName name="solver_ver" localSheetId="16" hidden="1">3</definedName>
    <definedName name="solver_ver" localSheetId="17" hidden="1">3</definedName>
    <definedName name="solver_ver" localSheetId="18" hidden="1">3</definedName>
    <definedName name="solver_ver" localSheetId="3" hidden="1">3</definedName>
    <definedName name="solver_ver" localSheetId="5" hidden="1">3</definedName>
    <definedName name="solver_ver" localSheetId="9" hidden="1">3</definedName>
    <definedName name="solver_ver" localSheetId="10"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4" i="19" l="1"/>
  <c r="E374" i="19"/>
  <c r="D374" i="19"/>
  <c r="F373" i="19"/>
  <c r="E373" i="19"/>
  <c r="D373" i="19"/>
  <c r="F368" i="19"/>
  <c r="G369" i="19"/>
  <c r="E370" i="19"/>
  <c r="D370" i="19"/>
  <c r="F356" i="19"/>
  <c r="G356" i="19" s="1"/>
  <c r="F355" i="19"/>
  <c r="G355" i="19" s="1"/>
  <c r="E357" i="19"/>
  <c r="D357" i="19"/>
  <c r="H347" i="19"/>
  <c r="F347" i="19"/>
  <c r="E343" i="19"/>
  <c r="D343" i="19"/>
  <c r="F343" i="19"/>
  <c r="G342" i="19"/>
  <c r="G341" i="19"/>
  <c r="I330" i="19"/>
  <c r="F330" i="19"/>
  <c r="F325" i="19"/>
  <c r="F313" i="19"/>
  <c r="F318" i="19"/>
  <c r="I318" i="19" s="1"/>
  <c r="F290" i="19"/>
  <c r="H290" i="19" s="1"/>
  <c r="F289" i="19"/>
  <c r="G291" i="19"/>
  <c r="E291" i="19"/>
  <c r="D291" i="19"/>
  <c r="G284" i="19"/>
  <c r="F284" i="19"/>
  <c r="E284" i="19"/>
  <c r="D284" i="19"/>
  <c r="H283" i="19"/>
  <c r="H282" i="19"/>
  <c r="H275" i="19"/>
  <c r="H276" i="19"/>
  <c r="G277" i="19"/>
  <c r="F277" i="19"/>
  <c r="E277" i="19"/>
  <c r="D277" i="19"/>
  <c r="I224" i="19"/>
  <c r="G368" i="19" l="1"/>
  <c r="F370" i="19"/>
  <c r="H374" i="19" s="1"/>
  <c r="F357" i="19"/>
  <c r="F361" i="19" s="1"/>
  <c r="H361" i="19" s="1"/>
  <c r="F291" i="19"/>
  <c r="H289" i="19"/>
  <c r="AU148" i="34"/>
  <c r="AT148" i="34"/>
  <c r="AU145" i="34"/>
  <c r="AR149" i="34"/>
  <c r="AR148" i="34"/>
  <c r="AR146" i="34"/>
  <c r="AJ164" i="34"/>
  <c r="AK164" i="34"/>
  <c r="AL164" i="34"/>
  <c r="AJ165" i="34"/>
  <c r="AK165" i="34"/>
  <c r="AL165" i="34"/>
  <c r="AP148" i="34"/>
  <c r="AP147" i="34"/>
  <c r="AP146" i="34"/>
  <c r="AJ159" i="34"/>
  <c r="AK159" i="34"/>
  <c r="AL159" i="34"/>
  <c r="AJ160" i="34"/>
  <c r="AK160" i="34"/>
  <c r="AL160" i="34"/>
  <c r="AJ161" i="34"/>
  <c r="AK161" i="34"/>
  <c r="AL161" i="34"/>
  <c r="AJ162" i="34"/>
  <c r="AK162" i="34"/>
  <c r="AL162" i="34"/>
  <c r="AJ163" i="34"/>
  <c r="AK163" i="34"/>
  <c r="AL163" i="34"/>
  <c r="AK154" i="34"/>
  <c r="AL154" i="34"/>
  <c r="AK155" i="34"/>
  <c r="AL155" i="34"/>
  <c r="AK156" i="34"/>
  <c r="AL156" i="34"/>
  <c r="AK157" i="34"/>
  <c r="AL157" i="34"/>
  <c r="AK158" i="34"/>
  <c r="AL158" i="34"/>
  <c r="AJ155" i="34"/>
  <c r="AJ156" i="34"/>
  <c r="AJ157" i="34"/>
  <c r="AJ158" i="34"/>
  <c r="AJ154" i="34"/>
  <c r="AJ149" i="34"/>
  <c r="ER59" i="34"/>
  <c r="KG59" i="34" s="1"/>
  <c r="EQ59" i="34"/>
  <c r="KF59" i="34" s="1"/>
  <c r="EP59" i="34"/>
  <c r="KE59" i="34" s="1"/>
  <c r="EO59" i="34"/>
  <c r="KD59" i="34" s="1"/>
  <c r="EN59" i="34"/>
  <c r="KC59" i="34" s="1"/>
  <c r="EM59" i="34"/>
  <c r="EM60" i="34" s="1"/>
  <c r="KB60" i="34" s="1"/>
  <c r="EL59" i="34"/>
  <c r="KA59" i="34" s="1"/>
  <c r="EK59" i="34"/>
  <c r="JZ59" i="34" s="1"/>
  <c r="EJ59" i="34"/>
  <c r="EJ60" i="34" s="1"/>
  <c r="JY60" i="34" s="1"/>
  <c r="EI59" i="34"/>
  <c r="JX59" i="34" s="1"/>
  <c r="EH59" i="34"/>
  <c r="EH60" i="34" s="1"/>
  <c r="JW60" i="34" s="1"/>
  <c r="EG59" i="34"/>
  <c r="EG60" i="34" s="1"/>
  <c r="JV60" i="34" s="1"/>
  <c r="EF59" i="34"/>
  <c r="EF60" i="34" s="1"/>
  <c r="JU60" i="34" s="1"/>
  <c r="EE59" i="34"/>
  <c r="JT59" i="34" s="1"/>
  <c r="ED59" i="34"/>
  <c r="JS59" i="34" s="1"/>
  <c r="EC59" i="34"/>
  <c r="JR59" i="34" s="1"/>
  <c r="EB59" i="34"/>
  <c r="EB60" i="34" s="1"/>
  <c r="JQ60" i="34" s="1"/>
  <c r="EA59" i="34"/>
  <c r="EA60" i="34" s="1"/>
  <c r="JP60" i="34" s="1"/>
  <c r="DZ59" i="34"/>
  <c r="DZ60" i="34" s="1"/>
  <c r="JO60" i="34" s="1"/>
  <c r="DY59" i="34"/>
  <c r="DY60" i="34" s="1"/>
  <c r="JN60" i="34" s="1"/>
  <c r="DX59" i="34"/>
  <c r="DX60" i="34" s="1"/>
  <c r="JM60" i="34" s="1"/>
  <c r="DW59" i="34"/>
  <c r="DW60" i="34" s="1"/>
  <c r="JL60" i="34" s="1"/>
  <c r="DV59" i="34"/>
  <c r="DV60" i="34" s="1"/>
  <c r="JK60" i="34" s="1"/>
  <c r="DU59" i="34"/>
  <c r="JJ59" i="34" s="1"/>
  <c r="DT59" i="34"/>
  <c r="DT60" i="34" s="1"/>
  <c r="JI60" i="34" s="1"/>
  <c r="DS59" i="34"/>
  <c r="DS60" i="34" s="1"/>
  <c r="JH60" i="34" s="1"/>
  <c r="DR59" i="34"/>
  <c r="DR60" i="34" s="1"/>
  <c r="JG60" i="34" s="1"/>
  <c r="DQ59" i="34"/>
  <c r="DQ60" i="34" s="1"/>
  <c r="JF60" i="34" s="1"/>
  <c r="DP59" i="34"/>
  <c r="DP60" i="34" s="1"/>
  <c r="JE60" i="34" s="1"/>
  <c r="DO59" i="34"/>
  <c r="DO60" i="34" s="1"/>
  <c r="JD60" i="34" s="1"/>
  <c r="DN59" i="34"/>
  <c r="JC59" i="34" s="1"/>
  <c r="DM59" i="34"/>
  <c r="JB59" i="34" s="1"/>
  <c r="DL59" i="34"/>
  <c r="JA59" i="34" s="1"/>
  <c r="DK59" i="34"/>
  <c r="IZ59" i="34" s="1"/>
  <c r="DJ59" i="34"/>
  <c r="IY59" i="34" s="1"/>
  <c r="DI59" i="34"/>
  <c r="IX59" i="34" s="1"/>
  <c r="DH59" i="34"/>
  <c r="IW59" i="34" s="1"/>
  <c r="DG59" i="34"/>
  <c r="IV59" i="34" s="1"/>
  <c r="DF59" i="34"/>
  <c r="IU59" i="34" s="1"/>
  <c r="DE59" i="34"/>
  <c r="IT59" i="34" s="1"/>
  <c r="DD59" i="34"/>
  <c r="IS59" i="34" s="1"/>
  <c r="DC59" i="34"/>
  <c r="IR59" i="34" s="1"/>
  <c r="DB59" i="34"/>
  <c r="IQ59" i="34" s="1"/>
  <c r="DA59" i="34"/>
  <c r="IP59" i="34" s="1"/>
  <c r="CZ59" i="34"/>
  <c r="IO59" i="34" s="1"/>
  <c r="CY59" i="34"/>
  <c r="IN59" i="34" s="1"/>
  <c r="CX59" i="34"/>
  <c r="IM59" i="34" s="1"/>
  <c r="CW59" i="34"/>
  <c r="IL59" i="34" s="1"/>
  <c r="CV59" i="34"/>
  <c r="IK59" i="34" s="1"/>
  <c r="CU59" i="34"/>
  <c r="IJ59" i="34" s="1"/>
  <c r="CT59" i="34"/>
  <c r="II59" i="34" s="1"/>
  <c r="CS59" i="34"/>
  <c r="IH59" i="34" s="1"/>
  <c r="CR59" i="34"/>
  <c r="IG59" i="34" s="1"/>
  <c r="CQ59" i="34"/>
  <c r="IF59" i="34" s="1"/>
  <c r="CP59" i="34"/>
  <c r="IE59" i="34" s="1"/>
  <c r="CO59" i="34"/>
  <c r="ID59" i="34" s="1"/>
  <c r="CN59" i="34"/>
  <c r="IC59" i="34" s="1"/>
  <c r="CM59" i="34"/>
  <c r="IB59" i="34" s="1"/>
  <c r="CL59" i="34"/>
  <c r="IA59" i="34" s="1"/>
  <c r="CK59" i="34"/>
  <c r="HZ59" i="34" s="1"/>
  <c r="CJ59" i="34"/>
  <c r="HY59" i="34" s="1"/>
  <c r="CI59" i="34"/>
  <c r="HX59" i="34" s="1"/>
  <c r="CH59" i="34"/>
  <c r="HW59" i="34" s="1"/>
  <c r="CG59" i="34"/>
  <c r="HV59" i="34" s="1"/>
  <c r="CF59" i="34"/>
  <c r="HU59" i="34" s="1"/>
  <c r="CE59" i="34"/>
  <c r="CD59" i="34"/>
  <c r="HS59" i="34" s="1"/>
  <c r="CC59" i="34"/>
  <c r="HR59" i="34" s="1"/>
  <c r="CB59" i="34"/>
  <c r="HQ59" i="34" s="1"/>
  <c r="CA59" i="34"/>
  <c r="HP59" i="34" s="1"/>
  <c r="BZ59" i="34"/>
  <c r="BY59" i="34"/>
  <c r="HN59" i="34" s="1"/>
  <c r="BX59" i="34"/>
  <c r="BW59" i="34"/>
  <c r="BV59" i="34"/>
  <c r="BU59" i="34"/>
  <c r="BT59" i="34"/>
  <c r="BS59" i="34"/>
  <c r="BR59" i="34"/>
  <c r="BQ59" i="34"/>
  <c r="HF59" i="34" s="1"/>
  <c r="BP59" i="34"/>
  <c r="BO59" i="34"/>
  <c r="BN59" i="34"/>
  <c r="BM59" i="34"/>
  <c r="BL59" i="34"/>
  <c r="BK59" i="34"/>
  <c r="BJ59" i="34"/>
  <c r="BI59" i="34"/>
  <c r="GX59" i="34" s="1"/>
  <c r="BH59" i="34"/>
  <c r="BG59" i="34"/>
  <c r="BF59" i="34"/>
  <c r="BE59" i="34"/>
  <c r="BD59" i="34"/>
  <c r="BC59" i="34"/>
  <c r="BB59" i="34"/>
  <c r="BA59" i="34"/>
  <c r="GP59" i="34" s="1"/>
  <c r="AZ59" i="34"/>
  <c r="AY59" i="34"/>
  <c r="AX59" i="34"/>
  <c r="AW59" i="34"/>
  <c r="AV59" i="34"/>
  <c r="AU59" i="34"/>
  <c r="AT59" i="34"/>
  <c r="AS59" i="34"/>
  <c r="GH59" i="34" s="1"/>
  <c r="AR59" i="34"/>
  <c r="AQ59" i="34"/>
  <c r="AP59" i="34"/>
  <c r="AO59" i="34"/>
  <c r="AN59" i="34"/>
  <c r="AM59" i="34"/>
  <c r="AL59" i="34"/>
  <c r="AK59" i="34"/>
  <c r="FZ59" i="34" s="1"/>
  <c r="AJ59" i="34"/>
  <c r="AI59" i="34"/>
  <c r="AH59" i="34"/>
  <c r="AG59" i="34"/>
  <c r="AF59" i="34"/>
  <c r="AE59" i="34"/>
  <c r="AD59" i="34"/>
  <c r="AC59" i="34"/>
  <c r="FR59" i="34" s="1"/>
  <c r="AB59" i="34"/>
  <c r="AA59" i="34"/>
  <c r="Z59" i="34"/>
  <c r="Y59" i="34"/>
  <c r="X59" i="34"/>
  <c r="W59" i="34"/>
  <c r="V59" i="34"/>
  <c r="U59" i="34"/>
  <c r="FJ59" i="34" s="1"/>
  <c r="T59" i="34"/>
  <c r="S59" i="34"/>
  <c r="R59" i="34"/>
  <c r="Q59" i="34"/>
  <c r="P59" i="34"/>
  <c r="O59" i="34"/>
  <c r="N59" i="34"/>
  <c r="M59" i="34"/>
  <c r="FB59" i="34" s="1"/>
  <c r="L59" i="34"/>
  <c r="K59" i="34"/>
  <c r="J59" i="34"/>
  <c r="I59" i="34"/>
  <c r="H59" i="34"/>
  <c r="G59" i="34"/>
  <c r="F59" i="34"/>
  <c r="E59" i="34"/>
  <c r="B39" i="34"/>
  <c r="B33" i="34"/>
  <c r="B27" i="34"/>
  <c r="B22" i="34"/>
  <c r="C151" i="34"/>
  <c r="C118" i="34"/>
  <c r="E53" i="34"/>
  <c r="ET53" i="34" s="1"/>
  <c r="F53" i="34"/>
  <c r="EU53" i="34" s="1"/>
  <c r="G53" i="34"/>
  <c r="EV53" i="34" s="1"/>
  <c r="H53" i="34"/>
  <c r="EW53" i="34" s="1"/>
  <c r="I53" i="34"/>
  <c r="EX53" i="34" s="1"/>
  <c r="J53" i="34"/>
  <c r="EY53" i="34" s="1"/>
  <c r="K53" i="34"/>
  <c r="EZ53" i="34" s="1"/>
  <c r="L53" i="34"/>
  <c r="FA53" i="34" s="1"/>
  <c r="M53" i="34"/>
  <c r="FB53" i="34" s="1"/>
  <c r="N53" i="34"/>
  <c r="FC53" i="34" s="1"/>
  <c r="O53" i="34"/>
  <c r="FD53" i="34" s="1"/>
  <c r="P53" i="34"/>
  <c r="FE53" i="34" s="1"/>
  <c r="Q53" i="34"/>
  <c r="FF53" i="34" s="1"/>
  <c r="R53" i="34"/>
  <c r="FG53" i="34" s="1"/>
  <c r="S53" i="34"/>
  <c r="FH53" i="34" s="1"/>
  <c r="T53" i="34"/>
  <c r="FI53" i="34" s="1"/>
  <c r="U53" i="34"/>
  <c r="FJ53" i="34" s="1"/>
  <c r="V53" i="34"/>
  <c r="FK53" i="34" s="1"/>
  <c r="W53" i="34"/>
  <c r="FL53" i="34" s="1"/>
  <c r="X53" i="34"/>
  <c r="FM53" i="34" s="1"/>
  <c r="Y53" i="34"/>
  <c r="FN53" i="34" s="1"/>
  <c r="Z53" i="34"/>
  <c r="FO53" i="34" s="1"/>
  <c r="AA53" i="34"/>
  <c r="FP53" i="34" s="1"/>
  <c r="AB53" i="34"/>
  <c r="FQ53" i="34" s="1"/>
  <c r="AC53" i="34"/>
  <c r="FR53" i="34" s="1"/>
  <c r="AD53" i="34"/>
  <c r="FS53" i="34" s="1"/>
  <c r="AE53" i="34"/>
  <c r="FT53" i="34" s="1"/>
  <c r="AF53" i="34"/>
  <c r="FU53" i="34" s="1"/>
  <c r="AG53" i="34"/>
  <c r="FV53" i="34" s="1"/>
  <c r="AH53" i="34"/>
  <c r="FW53" i="34" s="1"/>
  <c r="AI53" i="34"/>
  <c r="FX53" i="34" s="1"/>
  <c r="AJ53" i="34"/>
  <c r="FY53" i="34" s="1"/>
  <c r="AK53" i="34"/>
  <c r="FZ53" i="34" s="1"/>
  <c r="AL53" i="34"/>
  <c r="GA53" i="34" s="1"/>
  <c r="AM53" i="34"/>
  <c r="GB53" i="34" s="1"/>
  <c r="AN53" i="34"/>
  <c r="GC53" i="34" s="1"/>
  <c r="AO53" i="34"/>
  <c r="GD53" i="34" s="1"/>
  <c r="AP53" i="34"/>
  <c r="GE53" i="34" s="1"/>
  <c r="AQ53" i="34"/>
  <c r="GF53" i="34" s="1"/>
  <c r="AR53" i="34"/>
  <c r="GG53" i="34" s="1"/>
  <c r="AS53" i="34"/>
  <c r="GH53" i="34" s="1"/>
  <c r="AT53" i="34"/>
  <c r="GI53" i="34" s="1"/>
  <c r="AU53" i="34"/>
  <c r="GJ53" i="34" s="1"/>
  <c r="AV53" i="34"/>
  <c r="GK53" i="34" s="1"/>
  <c r="AW53" i="34"/>
  <c r="GL53" i="34" s="1"/>
  <c r="AX53" i="34"/>
  <c r="GM53" i="34" s="1"/>
  <c r="AY53" i="34"/>
  <c r="GN53" i="34" s="1"/>
  <c r="AZ53" i="34"/>
  <c r="GO53" i="34" s="1"/>
  <c r="BA53" i="34"/>
  <c r="GP53" i="34" s="1"/>
  <c r="BB53" i="34"/>
  <c r="GQ53" i="34" s="1"/>
  <c r="BC53" i="34"/>
  <c r="GR53" i="34" s="1"/>
  <c r="BD53" i="34"/>
  <c r="GS53" i="34" s="1"/>
  <c r="BE53" i="34"/>
  <c r="GT53" i="34" s="1"/>
  <c r="BF53" i="34"/>
  <c r="GU53" i="34" s="1"/>
  <c r="BG53" i="34"/>
  <c r="GV53" i="34" s="1"/>
  <c r="BH53" i="34"/>
  <c r="GW53" i="34" s="1"/>
  <c r="BI53" i="34"/>
  <c r="GX53" i="34" s="1"/>
  <c r="BJ53" i="34"/>
  <c r="GY53" i="34" s="1"/>
  <c r="BK53" i="34"/>
  <c r="GZ53" i="34" s="1"/>
  <c r="BL53" i="34"/>
  <c r="HA53" i="34" s="1"/>
  <c r="BM53" i="34"/>
  <c r="HB53" i="34" s="1"/>
  <c r="BN53" i="34"/>
  <c r="HC53" i="34" s="1"/>
  <c r="BO53" i="34"/>
  <c r="HD53" i="34" s="1"/>
  <c r="BP53" i="34"/>
  <c r="HE53" i="34" s="1"/>
  <c r="BQ53" i="34"/>
  <c r="HF53" i="34" s="1"/>
  <c r="BR53" i="34"/>
  <c r="HG53" i="34" s="1"/>
  <c r="BS53" i="34"/>
  <c r="HH53" i="34" s="1"/>
  <c r="BT53" i="34"/>
  <c r="HI53" i="34" s="1"/>
  <c r="BU53" i="34"/>
  <c r="HJ53" i="34" s="1"/>
  <c r="BV53" i="34"/>
  <c r="HK53" i="34" s="1"/>
  <c r="BW53" i="34"/>
  <c r="HL53" i="34" s="1"/>
  <c r="BX53" i="34"/>
  <c r="HM53" i="34" s="1"/>
  <c r="BY53" i="34"/>
  <c r="HN53" i="34" s="1"/>
  <c r="BZ53" i="34"/>
  <c r="HO53" i="34" s="1"/>
  <c r="CA53" i="34"/>
  <c r="HP53" i="34" s="1"/>
  <c r="CB53" i="34"/>
  <c r="HQ53" i="34" s="1"/>
  <c r="CC53" i="34"/>
  <c r="HR53" i="34" s="1"/>
  <c r="CD53" i="34"/>
  <c r="HS53" i="34" s="1"/>
  <c r="CE53" i="34"/>
  <c r="HT53" i="34" s="1"/>
  <c r="CF53" i="34"/>
  <c r="HU53" i="34" s="1"/>
  <c r="CG53" i="34"/>
  <c r="HV53" i="34" s="1"/>
  <c r="CH53" i="34"/>
  <c r="HW53" i="34" s="1"/>
  <c r="CI53" i="34"/>
  <c r="HX53" i="34" s="1"/>
  <c r="CJ53" i="34"/>
  <c r="HY53" i="34" s="1"/>
  <c r="CK53" i="34"/>
  <c r="HZ53" i="34" s="1"/>
  <c r="CL53" i="34"/>
  <c r="IA53" i="34" s="1"/>
  <c r="CM53" i="34"/>
  <c r="IB53" i="34" s="1"/>
  <c r="CN53" i="34"/>
  <c r="IC53" i="34" s="1"/>
  <c r="CO53" i="34"/>
  <c r="ID53" i="34" s="1"/>
  <c r="CP53" i="34"/>
  <c r="IE53" i="34" s="1"/>
  <c r="CQ53" i="34"/>
  <c r="IF53" i="34" s="1"/>
  <c r="CR53" i="34"/>
  <c r="IG53" i="34" s="1"/>
  <c r="CS53" i="34"/>
  <c r="IH53" i="34" s="1"/>
  <c r="CT53" i="34"/>
  <c r="II53" i="34" s="1"/>
  <c r="CU53" i="34"/>
  <c r="IJ53" i="34" s="1"/>
  <c r="CV53" i="34"/>
  <c r="IK53" i="34" s="1"/>
  <c r="CW53" i="34"/>
  <c r="IL53" i="34" s="1"/>
  <c r="CX53" i="34"/>
  <c r="IM53" i="34" s="1"/>
  <c r="CY53" i="34"/>
  <c r="IN53" i="34" s="1"/>
  <c r="CZ53" i="34"/>
  <c r="IO53" i="34" s="1"/>
  <c r="DA53" i="34"/>
  <c r="IP53" i="34" s="1"/>
  <c r="DB53" i="34"/>
  <c r="IQ53" i="34" s="1"/>
  <c r="DC53" i="34"/>
  <c r="IR53" i="34" s="1"/>
  <c r="DD53" i="34"/>
  <c r="IS53" i="34" s="1"/>
  <c r="DE53" i="34"/>
  <c r="IT53" i="34" s="1"/>
  <c r="DF53" i="34"/>
  <c r="IU53" i="34" s="1"/>
  <c r="DG53" i="34"/>
  <c r="IV53" i="34" s="1"/>
  <c r="DH53" i="34"/>
  <c r="IW53" i="34" s="1"/>
  <c r="DI53" i="34"/>
  <c r="IX53" i="34" s="1"/>
  <c r="DJ53" i="34"/>
  <c r="IY53" i="34" s="1"/>
  <c r="DK53" i="34"/>
  <c r="IZ53" i="34" s="1"/>
  <c r="DL53" i="34"/>
  <c r="JA53" i="34" s="1"/>
  <c r="DM53" i="34"/>
  <c r="JB53" i="34" s="1"/>
  <c r="DN53" i="34"/>
  <c r="JC53" i="34" s="1"/>
  <c r="DO53" i="34"/>
  <c r="JD53" i="34" s="1"/>
  <c r="DP53" i="34"/>
  <c r="JE53" i="34" s="1"/>
  <c r="DQ53" i="34"/>
  <c r="JF53" i="34" s="1"/>
  <c r="DR53" i="34"/>
  <c r="JG53" i="34" s="1"/>
  <c r="DS53" i="34"/>
  <c r="JH53" i="34" s="1"/>
  <c r="DT53" i="34"/>
  <c r="JI53" i="34" s="1"/>
  <c r="DU53" i="34"/>
  <c r="JJ53" i="34" s="1"/>
  <c r="DV53" i="34"/>
  <c r="JK53" i="34" s="1"/>
  <c r="DW53" i="34"/>
  <c r="JL53" i="34" s="1"/>
  <c r="DX53" i="34"/>
  <c r="JM53" i="34" s="1"/>
  <c r="DY53" i="34"/>
  <c r="JN53" i="34" s="1"/>
  <c r="DZ53" i="34"/>
  <c r="JO53" i="34" s="1"/>
  <c r="EA53" i="34"/>
  <c r="JP53" i="34" s="1"/>
  <c r="EB53" i="34"/>
  <c r="JQ53" i="34" s="1"/>
  <c r="EC53" i="34"/>
  <c r="JR53" i="34" s="1"/>
  <c r="ED53" i="34"/>
  <c r="JS53" i="34" s="1"/>
  <c r="EE53" i="34"/>
  <c r="JT53" i="34" s="1"/>
  <c r="EF53" i="34"/>
  <c r="JU53" i="34" s="1"/>
  <c r="EG53" i="34"/>
  <c r="JV53" i="34" s="1"/>
  <c r="EH53" i="34"/>
  <c r="JW53" i="34" s="1"/>
  <c r="EI53" i="34"/>
  <c r="JX53" i="34" s="1"/>
  <c r="EJ53" i="34"/>
  <c r="JY53" i="34" s="1"/>
  <c r="EK53" i="34"/>
  <c r="JZ53" i="34" s="1"/>
  <c r="EL53" i="34"/>
  <c r="KA53" i="34" s="1"/>
  <c r="EM53" i="34"/>
  <c r="KB53" i="34" s="1"/>
  <c r="EN53" i="34"/>
  <c r="KC53" i="34" s="1"/>
  <c r="EO53" i="34"/>
  <c r="KD53" i="34" s="1"/>
  <c r="EP53" i="34"/>
  <c r="KE53" i="34" s="1"/>
  <c r="EQ53" i="34"/>
  <c r="KF53" i="34" s="1"/>
  <c r="ER53" i="34"/>
  <c r="KG53" i="34" s="1"/>
  <c r="E54" i="34"/>
  <c r="ET54" i="34" s="1"/>
  <c r="F54" i="34"/>
  <c r="EU54" i="34" s="1"/>
  <c r="G54" i="34"/>
  <c r="EV54" i="34" s="1"/>
  <c r="H54" i="34"/>
  <c r="EW54" i="34" s="1"/>
  <c r="I54" i="34"/>
  <c r="EX54" i="34" s="1"/>
  <c r="J54" i="34"/>
  <c r="EY54" i="34" s="1"/>
  <c r="K54" i="34"/>
  <c r="EZ54" i="34" s="1"/>
  <c r="L54" i="34"/>
  <c r="FA54" i="34" s="1"/>
  <c r="M54" i="34"/>
  <c r="FB54" i="34" s="1"/>
  <c r="N54" i="34"/>
  <c r="FC54" i="34" s="1"/>
  <c r="O54" i="34"/>
  <c r="FD54" i="34" s="1"/>
  <c r="P54" i="34"/>
  <c r="FE54" i="34" s="1"/>
  <c r="Q54" i="34"/>
  <c r="FF54" i="34" s="1"/>
  <c r="R54" i="34"/>
  <c r="FG54" i="34" s="1"/>
  <c r="S54" i="34"/>
  <c r="FH54" i="34" s="1"/>
  <c r="T54" i="34"/>
  <c r="FI54" i="34" s="1"/>
  <c r="U54" i="34"/>
  <c r="FJ54" i="34" s="1"/>
  <c r="V54" i="34"/>
  <c r="FK54" i="34" s="1"/>
  <c r="W54" i="34"/>
  <c r="FL54" i="34" s="1"/>
  <c r="X54" i="34"/>
  <c r="FM54" i="34" s="1"/>
  <c r="Y54" i="34"/>
  <c r="FN54" i="34" s="1"/>
  <c r="Z54" i="34"/>
  <c r="FO54" i="34" s="1"/>
  <c r="AA54" i="34"/>
  <c r="FP54" i="34" s="1"/>
  <c r="AB54" i="34"/>
  <c r="FQ54" i="34" s="1"/>
  <c r="AC54" i="34"/>
  <c r="FR54" i="34" s="1"/>
  <c r="AD54" i="34"/>
  <c r="FS54" i="34" s="1"/>
  <c r="AE54" i="34"/>
  <c r="FT54" i="34" s="1"/>
  <c r="AF54" i="34"/>
  <c r="FU54" i="34" s="1"/>
  <c r="AG54" i="34"/>
  <c r="FV54" i="34" s="1"/>
  <c r="AH54" i="34"/>
  <c r="FW54" i="34" s="1"/>
  <c r="AI54" i="34"/>
  <c r="FX54" i="34" s="1"/>
  <c r="AJ54" i="34"/>
  <c r="FY54" i="34" s="1"/>
  <c r="AK54" i="34"/>
  <c r="FZ54" i="34" s="1"/>
  <c r="AL54" i="34"/>
  <c r="GA54" i="34" s="1"/>
  <c r="AM54" i="34"/>
  <c r="GB54" i="34" s="1"/>
  <c r="AN54" i="34"/>
  <c r="GC54" i="34" s="1"/>
  <c r="AO54" i="34"/>
  <c r="GD54" i="34" s="1"/>
  <c r="AP54" i="34"/>
  <c r="GE54" i="34" s="1"/>
  <c r="AQ54" i="34"/>
  <c r="GF54" i="34" s="1"/>
  <c r="AR54" i="34"/>
  <c r="GG54" i="34" s="1"/>
  <c r="AS54" i="34"/>
  <c r="GH54" i="34" s="1"/>
  <c r="AT54" i="34"/>
  <c r="GI54" i="34" s="1"/>
  <c r="AU54" i="34"/>
  <c r="GJ54" i="34" s="1"/>
  <c r="AV54" i="34"/>
  <c r="GK54" i="34" s="1"/>
  <c r="AW54" i="34"/>
  <c r="GL54" i="34" s="1"/>
  <c r="AX54" i="34"/>
  <c r="GM54" i="34" s="1"/>
  <c r="AY54" i="34"/>
  <c r="GN54" i="34" s="1"/>
  <c r="AZ54" i="34"/>
  <c r="GO54" i="34" s="1"/>
  <c r="BA54" i="34"/>
  <c r="GP54" i="34" s="1"/>
  <c r="BB54" i="34"/>
  <c r="GQ54" i="34" s="1"/>
  <c r="BC54" i="34"/>
  <c r="GR54" i="34" s="1"/>
  <c r="BD54" i="34"/>
  <c r="GS54" i="34" s="1"/>
  <c r="BE54" i="34"/>
  <c r="GT54" i="34" s="1"/>
  <c r="BF54" i="34"/>
  <c r="GU54" i="34" s="1"/>
  <c r="BG54" i="34"/>
  <c r="GV54" i="34" s="1"/>
  <c r="BH54" i="34"/>
  <c r="GW54" i="34" s="1"/>
  <c r="BI54" i="34"/>
  <c r="GX54" i="34" s="1"/>
  <c r="BJ54" i="34"/>
  <c r="GY54" i="34" s="1"/>
  <c r="BK54" i="34"/>
  <c r="GZ54" i="34" s="1"/>
  <c r="BL54" i="34"/>
  <c r="HA54" i="34" s="1"/>
  <c r="BM54" i="34"/>
  <c r="HB54" i="34" s="1"/>
  <c r="BN54" i="34"/>
  <c r="HC54" i="34" s="1"/>
  <c r="BO54" i="34"/>
  <c r="HD54" i="34" s="1"/>
  <c r="BP54" i="34"/>
  <c r="HE54" i="34" s="1"/>
  <c r="BQ54" i="34"/>
  <c r="HF54" i="34" s="1"/>
  <c r="BR54" i="34"/>
  <c r="HG54" i="34" s="1"/>
  <c r="BS54" i="34"/>
  <c r="HH54" i="34" s="1"/>
  <c r="BT54" i="34"/>
  <c r="HI54" i="34" s="1"/>
  <c r="BU54" i="34"/>
  <c r="HJ54" i="34" s="1"/>
  <c r="BV54" i="34"/>
  <c r="HK54" i="34" s="1"/>
  <c r="BW54" i="34"/>
  <c r="HL54" i="34" s="1"/>
  <c r="BX54" i="34"/>
  <c r="HM54" i="34" s="1"/>
  <c r="BY54" i="34"/>
  <c r="HN54" i="34" s="1"/>
  <c r="BZ54" i="34"/>
  <c r="HO54" i="34" s="1"/>
  <c r="CA54" i="34"/>
  <c r="HP54" i="34" s="1"/>
  <c r="CB54" i="34"/>
  <c r="HQ54" i="34" s="1"/>
  <c r="CC54" i="34"/>
  <c r="HR54" i="34" s="1"/>
  <c r="CD54" i="34"/>
  <c r="HS54" i="34" s="1"/>
  <c r="CE54" i="34"/>
  <c r="HT54" i="34" s="1"/>
  <c r="CF54" i="34"/>
  <c r="HU54" i="34" s="1"/>
  <c r="CG54" i="34"/>
  <c r="HV54" i="34" s="1"/>
  <c r="CH54" i="34"/>
  <c r="HW54" i="34" s="1"/>
  <c r="CI54" i="34"/>
  <c r="HX54" i="34" s="1"/>
  <c r="CJ54" i="34"/>
  <c r="HY54" i="34" s="1"/>
  <c r="CK54" i="34"/>
  <c r="HZ54" i="34" s="1"/>
  <c r="CL54" i="34"/>
  <c r="IA54" i="34" s="1"/>
  <c r="CM54" i="34"/>
  <c r="IB54" i="34" s="1"/>
  <c r="CN54" i="34"/>
  <c r="IC54" i="34" s="1"/>
  <c r="CO54" i="34"/>
  <c r="ID54" i="34" s="1"/>
  <c r="CP54" i="34"/>
  <c r="IE54" i="34" s="1"/>
  <c r="CQ54" i="34"/>
  <c r="IF54" i="34" s="1"/>
  <c r="CR54" i="34"/>
  <c r="IG54" i="34" s="1"/>
  <c r="CS54" i="34"/>
  <c r="IH54" i="34" s="1"/>
  <c r="CT54" i="34"/>
  <c r="II54" i="34" s="1"/>
  <c r="CU54" i="34"/>
  <c r="IJ54" i="34" s="1"/>
  <c r="CV54" i="34"/>
  <c r="IK54" i="34" s="1"/>
  <c r="CW54" i="34"/>
  <c r="IL54" i="34" s="1"/>
  <c r="CX54" i="34"/>
  <c r="IM54" i="34" s="1"/>
  <c r="CY54" i="34"/>
  <c r="IN54" i="34" s="1"/>
  <c r="CZ54" i="34"/>
  <c r="IO54" i="34" s="1"/>
  <c r="DA54" i="34"/>
  <c r="IP54" i="34" s="1"/>
  <c r="DB54" i="34"/>
  <c r="IQ54" i="34" s="1"/>
  <c r="DC54" i="34"/>
  <c r="IR54" i="34" s="1"/>
  <c r="DD54" i="34"/>
  <c r="IS54" i="34" s="1"/>
  <c r="DE54" i="34"/>
  <c r="IT54" i="34" s="1"/>
  <c r="DF54" i="34"/>
  <c r="IU54" i="34" s="1"/>
  <c r="DG54" i="34"/>
  <c r="IV54" i="34" s="1"/>
  <c r="DH54" i="34"/>
  <c r="IW54" i="34" s="1"/>
  <c r="DI54" i="34"/>
  <c r="IX54" i="34" s="1"/>
  <c r="DJ54" i="34"/>
  <c r="IY54" i="34" s="1"/>
  <c r="DK54" i="34"/>
  <c r="IZ54" i="34" s="1"/>
  <c r="DL54" i="34"/>
  <c r="JA54" i="34" s="1"/>
  <c r="DM54" i="34"/>
  <c r="JB54" i="34" s="1"/>
  <c r="DN54" i="34"/>
  <c r="JC54" i="34" s="1"/>
  <c r="DO54" i="34"/>
  <c r="JD54" i="34" s="1"/>
  <c r="DP54" i="34"/>
  <c r="JE54" i="34" s="1"/>
  <c r="DQ54" i="34"/>
  <c r="JF54" i="34" s="1"/>
  <c r="DR54" i="34"/>
  <c r="JG54" i="34" s="1"/>
  <c r="DS54" i="34"/>
  <c r="JH54" i="34" s="1"/>
  <c r="DT54" i="34"/>
  <c r="JI54" i="34" s="1"/>
  <c r="DU54" i="34"/>
  <c r="JJ54" i="34" s="1"/>
  <c r="DV54" i="34"/>
  <c r="JK54" i="34" s="1"/>
  <c r="DW54" i="34"/>
  <c r="JL54" i="34" s="1"/>
  <c r="DX54" i="34"/>
  <c r="JM54" i="34" s="1"/>
  <c r="DY54" i="34"/>
  <c r="JN54" i="34" s="1"/>
  <c r="DZ54" i="34"/>
  <c r="JO54" i="34" s="1"/>
  <c r="EA54" i="34"/>
  <c r="JP54" i="34" s="1"/>
  <c r="EB54" i="34"/>
  <c r="JQ54" i="34" s="1"/>
  <c r="EC54" i="34"/>
  <c r="JR54" i="34" s="1"/>
  <c r="ED54" i="34"/>
  <c r="JS54" i="34" s="1"/>
  <c r="EE54" i="34"/>
  <c r="JT54" i="34" s="1"/>
  <c r="EF54" i="34"/>
  <c r="JU54" i="34" s="1"/>
  <c r="EG54" i="34"/>
  <c r="JV54" i="34" s="1"/>
  <c r="EH54" i="34"/>
  <c r="JW54" i="34" s="1"/>
  <c r="EI54" i="34"/>
  <c r="JX54" i="34" s="1"/>
  <c r="EJ54" i="34"/>
  <c r="JY54" i="34" s="1"/>
  <c r="EK54" i="34"/>
  <c r="JZ54" i="34" s="1"/>
  <c r="EL54" i="34"/>
  <c r="KA54" i="34" s="1"/>
  <c r="EM54" i="34"/>
  <c r="KB54" i="34" s="1"/>
  <c r="EN54" i="34"/>
  <c r="KC54" i="34" s="1"/>
  <c r="EO54" i="34"/>
  <c r="KD54" i="34" s="1"/>
  <c r="EP54" i="34"/>
  <c r="KE54" i="34" s="1"/>
  <c r="EQ54" i="34"/>
  <c r="KF54" i="34" s="1"/>
  <c r="ER54" i="34"/>
  <c r="KG54" i="34" s="1"/>
  <c r="E55" i="34"/>
  <c r="ET55" i="34" s="1"/>
  <c r="F55" i="34"/>
  <c r="EU55" i="34" s="1"/>
  <c r="G55" i="34"/>
  <c r="EV55" i="34" s="1"/>
  <c r="H55" i="34"/>
  <c r="EW55" i="34" s="1"/>
  <c r="I55" i="34"/>
  <c r="EX55" i="34" s="1"/>
  <c r="J55" i="34"/>
  <c r="EY55" i="34" s="1"/>
  <c r="K55" i="34"/>
  <c r="EZ55" i="34" s="1"/>
  <c r="L55" i="34"/>
  <c r="FA55" i="34" s="1"/>
  <c r="M55" i="34"/>
  <c r="FB55" i="34" s="1"/>
  <c r="N55" i="34"/>
  <c r="FC55" i="34" s="1"/>
  <c r="O55" i="34"/>
  <c r="FD55" i="34" s="1"/>
  <c r="P55" i="34"/>
  <c r="FE55" i="34" s="1"/>
  <c r="Q55" i="34"/>
  <c r="FF55" i="34" s="1"/>
  <c r="R55" i="34"/>
  <c r="FG55" i="34" s="1"/>
  <c r="S55" i="34"/>
  <c r="FH55" i="34" s="1"/>
  <c r="T55" i="34"/>
  <c r="FI55" i="34" s="1"/>
  <c r="U55" i="34"/>
  <c r="FJ55" i="34" s="1"/>
  <c r="V55" i="34"/>
  <c r="FK55" i="34" s="1"/>
  <c r="W55" i="34"/>
  <c r="FL55" i="34" s="1"/>
  <c r="X55" i="34"/>
  <c r="FM55" i="34" s="1"/>
  <c r="Y55" i="34"/>
  <c r="FN55" i="34" s="1"/>
  <c r="Z55" i="34"/>
  <c r="FO55" i="34" s="1"/>
  <c r="AA55" i="34"/>
  <c r="FP55" i="34" s="1"/>
  <c r="AB55" i="34"/>
  <c r="FQ55" i="34" s="1"/>
  <c r="AC55" i="34"/>
  <c r="FR55" i="34" s="1"/>
  <c r="AD55" i="34"/>
  <c r="FS55" i="34" s="1"/>
  <c r="AE55" i="34"/>
  <c r="FT55" i="34" s="1"/>
  <c r="AF55" i="34"/>
  <c r="FU55" i="34" s="1"/>
  <c r="AG55" i="34"/>
  <c r="FV55" i="34" s="1"/>
  <c r="AH55" i="34"/>
  <c r="FW55" i="34" s="1"/>
  <c r="AI55" i="34"/>
  <c r="FX55" i="34" s="1"/>
  <c r="AJ55" i="34"/>
  <c r="FY55" i="34" s="1"/>
  <c r="AK55" i="34"/>
  <c r="FZ55" i="34" s="1"/>
  <c r="AL55" i="34"/>
  <c r="GA55" i="34" s="1"/>
  <c r="AM55" i="34"/>
  <c r="GB55" i="34" s="1"/>
  <c r="AN55" i="34"/>
  <c r="GC55" i="34" s="1"/>
  <c r="AO55" i="34"/>
  <c r="GD55" i="34" s="1"/>
  <c r="AP55" i="34"/>
  <c r="GE55" i="34" s="1"/>
  <c r="AQ55" i="34"/>
  <c r="GF55" i="34" s="1"/>
  <c r="AR55" i="34"/>
  <c r="GG55" i="34" s="1"/>
  <c r="AS55" i="34"/>
  <c r="GH55" i="34" s="1"/>
  <c r="AT55" i="34"/>
  <c r="GI55" i="34" s="1"/>
  <c r="AU55" i="34"/>
  <c r="GJ55" i="34" s="1"/>
  <c r="AV55" i="34"/>
  <c r="GK55" i="34" s="1"/>
  <c r="AW55" i="34"/>
  <c r="GL55" i="34" s="1"/>
  <c r="AX55" i="34"/>
  <c r="GM55" i="34" s="1"/>
  <c r="AY55" i="34"/>
  <c r="GN55" i="34" s="1"/>
  <c r="AZ55" i="34"/>
  <c r="GO55" i="34" s="1"/>
  <c r="BA55" i="34"/>
  <c r="GP55" i="34" s="1"/>
  <c r="BB55" i="34"/>
  <c r="GQ55" i="34" s="1"/>
  <c r="BC55" i="34"/>
  <c r="GR55" i="34" s="1"/>
  <c r="BD55" i="34"/>
  <c r="GS55" i="34" s="1"/>
  <c r="BE55" i="34"/>
  <c r="GT55" i="34" s="1"/>
  <c r="BF55" i="34"/>
  <c r="GU55" i="34" s="1"/>
  <c r="BG55" i="34"/>
  <c r="GV55" i="34" s="1"/>
  <c r="BH55" i="34"/>
  <c r="GW55" i="34" s="1"/>
  <c r="BI55" i="34"/>
  <c r="GX55" i="34" s="1"/>
  <c r="BJ55" i="34"/>
  <c r="GY55" i="34" s="1"/>
  <c r="BK55" i="34"/>
  <c r="GZ55" i="34" s="1"/>
  <c r="BL55" i="34"/>
  <c r="HA55" i="34" s="1"/>
  <c r="BM55" i="34"/>
  <c r="HB55" i="34" s="1"/>
  <c r="BN55" i="34"/>
  <c r="HC55" i="34" s="1"/>
  <c r="BO55" i="34"/>
  <c r="HD55" i="34" s="1"/>
  <c r="BP55" i="34"/>
  <c r="HE55" i="34" s="1"/>
  <c r="BQ55" i="34"/>
  <c r="HF55" i="34" s="1"/>
  <c r="BR55" i="34"/>
  <c r="HG55" i="34" s="1"/>
  <c r="BS55" i="34"/>
  <c r="HH55" i="34" s="1"/>
  <c r="BT55" i="34"/>
  <c r="HI55" i="34" s="1"/>
  <c r="BU55" i="34"/>
  <c r="HJ55" i="34" s="1"/>
  <c r="BV55" i="34"/>
  <c r="HK55" i="34" s="1"/>
  <c r="BW55" i="34"/>
  <c r="HL55" i="34" s="1"/>
  <c r="BX55" i="34"/>
  <c r="HM55" i="34" s="1"/>
  <c r="BY55" i="34"/>
  <c r="HN55" i="34" s="1"/>
  <c r="BZ55" i="34"/>
  <c r="HO55" i="34" s="1"/>
  <c r="CA55" i="34"/>
  <c r="HP55" i="34" s="1"/>
  <c r="CB55" i="34"/>
  <c r="HQ55" i="34" s="1"/>
  <c r="CC55" i="34"/>
  <c r="HR55" i="34" s="1"/>
  <c r="CD55" i="34"/>
  <c r="HS55" i="34" s="1"/>
  <c r="CE55" i="34"/>
  <c r="HT55" i="34" s="1"/>
  <c r="CF55" i="34"/>
  <c r="HU55" i="34" s="1"/>
  <c r="CG55" i="34"/>
  <c r="HV55" i="34" s="1"/>
  <c r="CH55" i="34"/>
  <c r="HW55" i="34" s="1"/>
  <c r="CI55" i="34"/>
  <c r="HX55" i="34" s="1"/>
  <c r="CJ55" i="34"/>
  <c r="HY55" i="34" s="1"/>
  <c r="CK55" i="34"/>
  <c r="HZ55" i="34" s="1"/>
  <c r="CL55" i="34"/>
  <c r="IA55" i="34" s="1"/>
  <c r="CM55" i="34"/>
  <c r="IB55" i="34" s="1"/>
  <c r="CN55" i="34"/>
  <c r="IC55" i="34" s="1"/>
  <c r="CO55" i="34"/>
  <c r="ID55" i="34" s="1"/>
  <c r="CP55" i="34"/>
  <c r="IE55" i="34" s="1"/>
  <c r="CQ55" i="34"/>
  <c r="IF55" i="34" s="1"/>
  <c r="CR55" i="34"/>
  <c r="IG55" i="34" s="1"/>
  <c r="CS55" i="34"/>
  <c r="IH55" i="34" s="1"/>
  <c r="CT55" i="34"/>
  <c r="II55" i="34" s="1"/>
  <c r="CU55" i="34"/>
  <c r="IJ55" i="34" s="1"/>
  <c r="CV55" i="34"/>
  <c r="IK55" i="34" s="1"/>
  <c r="CW55" i="34"/>
  <c r="IL55" i="34" s="1"/>
  <c r="CX55" i="34"/>
  <c r="IM55" i="34" s="1"/>
  <c r="CY55" i="34"/>
  <c r="IN55" i="34" s="1"/>
  <c r="CZ55" i="34"/>
  <c r="IO55" i="34" s="1"/>
  <c r="DA55" i="34"/>
  <c r="IP55" i="34" s="1"/>
  <c r="DB55" i="34"/>
  <c r="IQ55" i="34" s="1"/>
  <c r="DC55" i="34"/>
  <c r="IR55" i="34" s="1"/>
  <c r="DD55" i="34"/>
  <c r="IS55" i="34" s="1"/>
  <c r="DE55" i="34"/>
  <c r="IT55" i="34" s="1"/>
  <c r="DF55" i="34"/>
  <c r="IU55" i="34" s="1"/>
  <c r="DG55" i="34"/>
  <c r="IV55" i="34" s="1"/>
  <c r="DH55" i="34"/>
  <c r="IW55" i="34" s="1"/>
  <c r="DI55" i="34"/>
  <c r="IX55" i="34" s="1"/>
  <c r="DJ55" i="34"/>
  <c r="IY55" i="34" s="1"/>
  <c r="DK55" i="34"/>
  <c r="IZ55" i="34" s="1"/>
  <c r="DL55" i="34"/>
  <c r="JA55" i="34" s="1"/>
  <c r="DM55" i="34"/>
  <c r="JB55" i="34" s="1"/>
  <c r="DN55" i="34"/>
  <c r="JC55" i="34" s="1"/>
  <c r="DO55" i="34"/>
  <c r="JD55" i="34" s="1"/>
  <c r="DP55" i="34"/>
  <c r="JE55" i="34" s="1"/>
  <c r="DQ55" i="34"/>
  <c r="JF55" i="34" s="1"/>
  <c r="DR55" i="34"/>
  <c r="JG55" i="34" s="1"/>
  <c r="DS55" i="34"/>
  <c r="JH55" i="34" s="1"/>
  <c r="DT55" i="34"/>
  <c r="JI55" i="34" s="1"/>
  <c r="DU55" i="34"/>
  <c r="JJ55" i="34" s="1"/>
  <c r="DV55" i="34"/>
  <c r="JK55" i="34" s="1"/>
  <c r="DW55" i="34"/>
  <c r="JL55" i="34" s="1"/>
  <c r="DX55" i="34"/>
  <c r="JM55" i="34" s="1"/>
  <c r="DY55" i="34"/>
  <c r="JN55" i="34" s="1"/>
  <c r="DZ55" i="34"/>
  <c r="JO55" i="34" s="1"/>
  <c r="EA55" i="34"/>
  <c r="JP55" i="34" s="1"/>
  <c r="EB55" i="34"/>
  <c r="JQ55" i="34" s="1"/>
  <c r="EC55" i="34"/>
  <c r="JR55" i="34" s="1"/>
  <c r="ED55" i="34"/>
  <c r="JS55" i="34" s="1"/>
  <c r="EE55" i="34"/>
  <c r="JT55" i="34" s="1"/>
  <c r="EF55" i="34"/>
  <c r="JU55" i="34" s="1"/>
  <c r="EG55" i="34"/>
  <c r="JV55" i="34" s="1"/>
  <c r="EH55" i="34"/>
  <c r="JW55" i="34" s="1"/>
  <c r="EI55" i="34"/>
  <c r="JX55" i="34" s="1"/>
  <c r="EJ55" i="34"/>
  <c r="JY55" i="34" s="1"/>
  <c r="EK55" i="34"/>
  <c r="JZ55" i="34" s="1"/>
  <c r="EL55" i="34"/>
  <c r="KA55" i="34" s="1"/>
  <c r="EM55" i="34"/>
  <c r="KB55" i="34" s="1"/>
  <c r="EN55" i="34"/>
  <c r="KC55" i="34" s="1"/>
  <c r="EO55" i="34"/>
  <c r="KD55" i="34" s="1"/>
  <c r="EP55" i="34"/>
  <c r="KE55" i="34" s="1"/>
  <c r="EQ55" i="34"/>
  <c r="KF55" i="34" s="1"/>
  <c r="ER55" i="34"/>
  <c r="KG55" i="34" s="1"/>
  <c r="E56" i="34"/>
  <c r="ET56" i="34" s="1"/>
  <c r="F56" i="34"/>
  <c r="EU56" i="34" s="1"/>
  <c r="G56" i="34"/>
  <c r="EV56" i="34" s="1"/>
  <c r="H56" i="34"/>
  <c r="EW56" i="34" s="1"/>
  <c r="I56" i="34"/>
  <c r="EX56" i="34" s="1"/>
  <c r="J56" i="34"/>
  <c r="EY56" i="34" s="1"/>
  <c r="K56" i="34"/>
  <c r="EZ56" i="34" s="1"/>
  <c r="L56" i="34"/>
  <c r="FA56" i="34" s="1"/>
  <c r="M56" i="34"/>
  <c r="FB56" i="34" s="1"/>
  <c r="N56" i="34"/>
  <c r="FC56" i="34" s="1"/>
  <c r="O56" i="34"/>
  <c r="FD56" i="34" s="1"/>
  <c r="P56" i="34"/>
  <c r="FE56" i="34" s="1"/>
  <c r="Q56" i="34"/>
  <c r="FF56" i="34" s="1"/>
  <c r="R56" i="34"/>
  <c r="FG56" i="34" s="1"/>
  <c r="S56" i="34"/>
  <c r="FH56" i="34" s="1"/>
  <c r="T56" i="34"/>
  <c r="FI56" i="34" s="1"/>
  <c r="U56" i="34"/>
  <c r="FJ56" i="34" s="1"/>
  <c r="V56" i="34"/>
  <c r="FK56" i="34" s="1"/>
  <c r="W56" i="34"/>
  <c r="FL56" i="34" s="1"/>
  <c r="X56" i="34"/>
  <c r="FM56" i="34" s="1"/>
  <c r="Y56" i="34"/>
  <c r="FN56" i="34" s="1"/>
  <c r="Z56" i="34"/>
  <c r="FO56" i="34" s="1"/>
  <c r="AA56" i="34"/>
  <c r="FP56" i="34" s="1"/>
  <c r="AB56" i="34"/>
  <c r="FQ56" i="34" s="1"/>
  <c r="AC56" i="34"/>
  <c r="FR56" i="34" s="1"/>
  <c r="AD56" i="34"/>
  <c r="FS56" i="34" s="1"/>
  <c r="AE56" i="34"/>
  <c r="FT56" i="34" s="1"/>
  <c r="AF56" i="34"/>
  <c r="FU56" i="34" s="1"/>
  <c r="AG56" i="34"/>
  <c r="FV56" i="34" s="1"/>
  <c r="AH56" i="34"/>
  <c r="FW56" i="34" s="1"/>
  <c r="AI56" i="34"/>
  <c r="FX56" i="34" s="1"/>
  <c r="AJ56" i="34"/>
  <c r="FY56" i="34" s="1"/>
  <c r="AK56" i="34"/>
  <c r="FZ56" i="34" s="1"/>
  <c r="AL56" i="34"/>
  <c r="GA56" i="34" s="1"/>
  <c r="AM56" i="34"/>
  <c r="GB56" i="34" s="1"/>
  <c r="AN56" i="34"/>
  <c r="GC56" i="34" s="1"/>
  <c r="AO56" i="34"/>
  <c r="GD56" i="34" s="1"/>
  <c r="AP56" i="34"/>
  <c r="GE56" i="34" s="1"/>
  <c r="AQ56" i="34"/>
  <c r="GF56" i="34" s="1"/>
  <c r="AR56" i="34"/>
  <c r="GG56" i="34" s="1"/>
  <c r="AS56" i="34"/>
  <c r="GH56" i="34" s="1"/>
  <c r="AT56" i="34"/>
  <c r="GI56" i="34" s="1"/>
  <c r="AU56" i="34"/>
  <c r="GJ56" i="34" s="1"/>
  <c r="AV56" i="34"/>
  <c r="GK56" i="34" s="1"/>
  <c r="AW56" i="34"/>
  <c r="GL56" i="34" s="1"/>
  <c r="AX56" i="34"/>
  <c r="GM56" i="34" s="1"/>
  <c r="AY56" i="34"/>
  <c r="GN56" i="34" s="1"/>
  <c r="AZ56" i="34"/>
  <c r="GO56" i="34" s="1"/>
  <c r="BA56" i="34"/>
  <c r="GP56" i="34" s="1"/>
  <c r="BB56" i="34"/>
  <c r="GQ56" i="34" s="1"/>
  <c r="BC56" i="34"/>
  <c r="GR56" i="34" s="1"/>
  <c r="BD56" i="34"/>
  <c r="GS56" i="34" s="1"/>
  <c r="BE56" i="34"/>
  <c r="GT56" i="34" s="1"/>
  <c r="BF56" i="34"/>
  <c r="GU56" i="34" s="1"/>
  <c r="BG56" i="34"/>
  <c r="GV56" i="34" s="1"/>
  <c r="BH56" i="34"/>
  <c r="GW56" i="34" s="1"/>
  <c r="BI56" i="34"/>
  <c r="GX56" i="34" s="1"/>
  <c r="BJ56" i="34"/>
  <c r="GY56" i="34" s="1"/>
  <c r="BK56" i="34"/>
  <c r="GZ56" i="34" s="1"/>
  <c r="BL56" i="34"/>
  <c r="HA56" i="34" s="1"/>
  <c r="BM56" i="34"/>
  <c r="HB56" i="34" s="1"/>
  <c r="BN56" i="34"/>
  <c r="HC56" i="34" s="1"/>
  <c r="BO56" i="34"/>
  <c r="HD56" i="34" s="1"/>
  <c r="BP56" i="34"/>
  <c r="HE56" i="34" s="1"/>
  <c r="BQ56" i="34"/>
  <c r="HF56" i="34" s="1"/>
  <c r="BR56" i="34"/>
  <c r="HG56" i="34" s="1"/>
  <c r="BS56" i="34"/>
  <c r="HH56" i="34" s="1"/>
  <c r="BT56" i="34"/>
  <c r="HI56" i="34" s="1"/>
  <c r="BU56" i="34"/>
  <c r="HJ56" i="34" s="1"/>
  <c r="BV56" i="34"/>
  <c r="HK56" i="34" s="1"/>
  <c r="BW56" i="34"/>
  <c r="HL56" i="34" s="1"/>
  <c r="BX56" i="34"/>
  <c r="HM56" i="34" s="1"/>
  <c r="BY56" i="34"/>
  <c r="HN56" i="34" s="1"/>
  <c r="BZ56" i="34"/>
  <c r="HO56" i="34" s="1"/>
  <c r="CA56" i="34"/>
  <c r="HP56" i="34" s="1"/>
  <c r="CB56" i="34"/>
  <c r="HQ56" i="34" s="1"/>
  <c r="CC56" i="34"/>
  <c r="HR56" i="34" s="1"/>
  <c r="CD56" i="34"/>
  <c r="HS56" i="34" s="1"/>
  <c r="CE56" i="34"/>
  <c r="HT56" i="34" s="1"/>
  <c r="CF56" i="34"/>
  <c r="HU56" i="34" s="1"/>
  <c r="CG56" i="34"/>
  <c r="HV56" i="34" s="1"/>
  <c r="CH56" i="34"/>
  <c r="HW56" i="34" s="1"/>
  <c r="CI56" i="34"/>
  <c r="HX56" i="34" s="1"/>
  <c r="CJ56" i="34"/>
  <c r="HY56" i="34" s="1"/>
  <c r="CK56" i="34"/>
  <c r="HZ56" i="34" s="1"/>
  <c r="CL56" i="34"/>
  <c r="IA56" i="34" s="1"/>
  <c r="CM56" i="34"/>
  <c r="IB56" i="34" s="1"/>
  <c r="CN56" i="34"/>
  <c r="IC56" i="34" s="1"/>
  <c r="CO56" i="34"/>
  <c r="ID56" i="34" s="1"/>
  <c r="CP56" i="34"/>
  <c r="IE56" i="34" s="1"/>
  <c r="CQ56" i="34"/>
  <c r="IF56" i="34" s="1"/>
  <c r="CR56" i="34"/>
  <c r="IG56" i="34" s="1"/>
  <c r="CS56" i="34"/>
  <c r="IH56" i="34" s="1"/>
  <c r="CT56" i="34"/>
  <c r="II56" i="34" s="1"/>
  <c r="CU56" i="34"/>
  <c r="IJ56" i="34" s="1"/>
  <c r="CV56" i="34"/>
  <c r="IK56" i="34" s="1"/>
  <c r="CW56" i="34"/>
  <c r="IL56" i="34" s="1"/>
  <c r="CX56" i="34"/>
  <c r="IM56" i="34" s="1"/>
  <c r="CY56" i="34"/>
  <c r="IN56" i="34" s="1"/>
  <c r="CZ56" i="34"/>
  <c r="IO56" i="34" s="1"/>
  <c r="DA56" i="34"/>
  <c r="IP56" i="34" s="1"/>
  <c r="DB56" i="34"/>
  <c r="IQ56" i="34" s="1"/>
  <c r="DC56" i="34"/>
  <c r="IR56" i="34" s="1"/>
  <c r="DD56" i="34"/>
  <c r="IS56" i="34" s="1"/>
  <c r="DE56" i="34"/>
  <c r="IT56" i="34" s="1"/>
  <c r="DF56" i="34"/>
  <c r="IU56" i="34" s="1"/>
  <c r="DG56" i="34"/>
  <c r="IV56" i="34" s="1"/>
  <c r="DH56" i="34"/>
  <c r="IW56" i="34" s="1"/>
  <c r="DI56" i="34"/>
  <c r="IX56" i="34" s="1"/>
  <c r="DJ56" i="34"/>
  <c r="IY56" i="34" s="1"/>
  <c r="DK56" i="34"/>
  <c r="IZ56" i="34" s="1"/>
  <c r="DL56" i="34"/>
  <c r="JA56" i="34" s="1"/>
  <c r="DM56" i="34"/>
  <c r="JB56" i="34" s="1"/>
  <c r="DN56" i="34"/>
  <c r="JC56" i="34" s="1"/>
  <c r="DO56" i="34"/>
  <c r="JD56" i="34" s="1"/>
  <c r="DP56" i="34"/>
  <c r="JE56" i="34" s="1"/>
  <c r="DQ56" i="34"/>
  <c r="JF56" i="34" s="1"/>
  <c r="DR56" i="34"/>
  <c r="JG56" i="34" s="1"/>
  <c r="DS56" i="34"/>
  <c r="JH56" i="34" s="1"/>
  <c r="DT56" i="34"/>
  <c r="JI56" i="34" s="1"/>
  <c r="DU56" i="34"/>
  <c r="JJ56" i="34" s="1"/>
  <c r="DV56" i="34"/>
  <c r="JK56" i="34" s="1"/>
  <c r="DW56" i="34"/>
  <c r="JL56" i="34" s="1"/>
  <c r="DX56" i="34"/>
  <c r="JM56" i="34" s="1"/>
  <c r="DY56" i="34"/>
  <c r="JN56" i="34" s="1"/>
  <c r="DZ56" i="34"/>
  <c r="JO56" i="34" s="1"/>
  <c r="EA56" i="34"/>
  <c r="JP56" i="34" s="1"/>
  <c r="EB56" i="34"/>
  <c r="JQ56" i="34" s="1"/>
  <c r="EC56" i="34"/>
  <c r="JR56" i="34" s="1"/>
  <c r="ED56" i="34"/>
  <c r="JS56" i="34" s="1"/>
  <c r="EE56" i="34"/>
  <c r="JT56" i="34" s="1"/>
  <c r="EF56" i="34"/>
  <c r="JU56" i="34" s="1"/>
  <c r="EG56" i="34"/>
  <c r="JV56" i="34" s="1"/>
  <c r="EH56" i="34"/>
  <c r="JW56" i="34" s="1"/>
  <c r="EI56" i="34"/>
  <c r="JX56" i="34" s="1"/>
  <c r="EJ56" i="34"/>
  <c r="JY56" i="34" s="1"/>
  <c r="EK56" i="34"/>
  <c r="JZ56" i="34" s="1"/>
  <c r="EL56" i="34"/>
  <c r="KA56" i="34" s="1"/>
  <c r="EM56" i="34"/>
  <c r="KB56" i="34" s="1"/>
  <c r="EN56" i="34"/>
  <c r="KC56" i="34" s="1"/>
  <c r="EO56" i="34"/>
  <c r="KD56" i="34" s="1"/>
  <c r="EP56" i="34"/>
  <c r="KE56" i="34" s="1"/>
  <c r="EQ56" i="34"/>
  <c r="KF56" i="34" s="1"/>
  <c r="ER56" i="34"/>
  <c r="KG56" i="34" s="1"/>
  <c r="E57" i="34"/>
  <c r="ET57" i="34" s="1"/>
  <c r="F57" i="34"/>
  <c r="EU57" i="34" s="1"/>
  <c r="G57" i="34"/>
  <c r="EV57" i="34" s="1"/>
  <c r="H57" i="34"/>
  <c r="EW57" i="34" s="1"/>
  <c r="I57" i="34"/>
  <c r="EX57" i="34" s="1"/>
  <c r="J57" i="34"/>
  <c r="EY57" i="34" s="1"/>
  <c r="K57" i="34"/>
  <c r="EZ57" i="34" s="1"/>
  <c r="L57" i="34"/>
  <c r="FA57" i="34" s="1"/>
  <c r="M57" i="34"/>
  <c r="FB57" i="34" s="1"/>
  <c r="N57" i="34"/>
  <c r="FC57" i="34" s="1"/>
  <c r="O57" i="34"/>
  <c r="FD57" i="34" s="1"/>
  <c r="P57" i="34"/>
  <c r="FE57" i="34" s="1"/>
  <c r="Q57" i="34"/>
  <c r="FF57" i="34" s="1"/>
  <c r="R57" i="34"/>
  <c r="FG57" i="34" s="1"/>
  <c r="S57" i="34"/>
  <c r="FH57" i="34" s="1"/>
  <c r="T57" i="34"/>
  <c r="FI57" i="34" s="1"/>
  <c r="U57" i="34"/>
  <c r="FJ57" i="34" s="1"/>
  <c r="V57" i="34"/>
  <c r="FK57" i="34" s="1"/>
  <c r="W57" i="34"/>
  <c r="FL57" i="34" s="1"/>
  <c r="X57" i="34"/>
  <c r="FM57" i="34" s="1"/>
  <c r="Y57" i="34"/>
  <c r="FN57" i="34" s="1"/>
  <c r="Z57" i="34"/>
  <c r="FO57" i="34" s="1"/>
  <c r="AA57" i="34"/>
  <c r="FP57" i="34" s="1"/>
  <c r="AB57" i="34"/>
  <c r="FQ57" i="34" s="1"/>
  <c r="AC57" i="34"/>
  <c r="FR57" i="34" s="1"/>
  <c r="AD57" i="34"/>
  <c r="FS57" i="34" s="1"/>
  <c r="AE57" i="34"/>
  <c r="FT57" i="34" s="1"/>
  <c r="AF57" i="34"/>
  <c r="FU57" i="34" s="1"/>
  <c r="AG57" i="34"/>
  <c r="FV57" i="34" s="1"/>
  <c r="AH57" i="34"/>
  <c r="FW57" i="34" s="1"/>
  <c r="AI57" i="34"/>
  <c r="FX57" i="34" s="1"/>
  <c r="AJ57" i="34"/>
  <c r="FY57" i="34" s="1"/>
  <c r="AK57" i="34"/>
  <c r="FZ57" i="34" s="1"/>
  <c r="AL57" i="34"/>
  <c r="GA57" i="34" s="1"/>
  <c r="AM57" i="34"/>
  <c r="GB57" i="34" s="1"/>
  <c r="AN57" i="34"/>
  <c r="GC57" i="34" s="1"/>
  <c r="AO57" i="34"/>
  <c r="GD57" i="34" s="1"/>
  <c r="AP57" i="34"/>
  <c r="GE57" i="34" s="1"/>
  <c r="AQ57" i="34"/>
  <c r="GF57" i="34" s="1"/>
  <c r="AR57" i="34"/>
  <c r="GG57" i="34" s="1"/>
  <c r="AS57" i="34"/>
  <c r="GH57" i="34" s="1"/>
  <c r="AT57" i="34"/>
  <c r="GI57" i="34" s="1"/>
  <c r="AU57" i="34"/>
  <c r="GJ57" i="34" s="1"/>
  <c r="AV57" i="34"/>
  <c r="GK57" i="34" s="1"/>
  <c r="AW57" i="34"/>
  <c r="GL57" i="34" s="1"/>
  <c r="AX57" i="34"/>
  <c r="GM57" i="34" s="1"/>
  <c r="AY57" i="34"/>
  <c r="GN57" i="34" s="1"/>
  <c r="AZ57" i="34"/>
  <c r="GO57" i="34" s="1"/>
  <c r="BA57" i="34"/>
  <c r="GP57" i="34" s="1"/>
  <c r="BB57" i="34"/>
  <c r="GQ57" i="34" s="1"/>
  <c r="BC57" i="34"/>
  <c r="GR57" i="34" s="1"/>
  <c r="BD57" i="34"/>
  <c r="GS57" i="34" s="1"/>
  <c r="BE57" i="34"/>
  <c r="GT57" i="34" s="1"/>
  <c r="BF57" i="34"/>
  <c r="GU57" i="34" s="1"/>
  <c r="BG57" i="34"/>
  <c r="GV57" i="34" s="1"/>
  <c r="BH57" i="34"/>
  <c r="GW57" i="34" s="1"/>
  <c r="BI57" i="34"/>
  <c r="GX57" i="34" s="1"/>
  <c r="BJ57" i="34"/>
  <c r="GY57" i="34" s="1"/>
  <c r="BK57" i="34"/>
  <c r="GZ57" i="34" s="1"/>
  <c r="BL57" i="34"/>
  <c r="HA57" i="34" s="1"/>
  <c r="BM57" i="34"/>
  <c r="HB57" i="34" s="1"/>
  <c r="BN57" i="34"/>
  <c r="HC57" i="34" s="1"/>
  <c r="BO57" i="34"/>
  <c r="HD57" i="34" s="1"/>
  <c r="BP57" i="34"/>
  <c r="HE57" i="34" s="1"/>
  <c r="BQ57" i="34"/>
  <c r="HF57" i="34" s="1"/>
  <c r="BR57" i="34"/>
  <c r="HG57" i="34" s="1"/>
  <c r="BS57" i="34"/>
  <c r="HH57" i="34" s="1"/>
  <c r="BT57" i="34"/>
  <c r="HI57" i="34" s="1"/>
  <c r="BU57" i="34"/>
  <c r="HJ57" i="34" s="1"/>
  <c r="BV57" i="34"/>
  <c r="HK57" i="34" s="1"/>
  <c r="BW57" i="34"/>
  <c r="HL57" i="34" s="1"/>
  <c r="BX57" i="34"/>
  <c r="HM57" i="34" s="1"/>
  <c r="BY57" i="34"/>
  <c r="HN57" i="34" s="1"/>
  <c r="BZ57" i="34"/>
  <c r="HO57" i="34" s="1"/>
  <c r="CA57" i="34"/>
  <c r="HP57" i="34" s="1"/>
  <c r="CB57" i="34"/>
  <c r="HQ57" i="34" s="1"/>
  <c r="CC57" i="34"/>
  <c r="HR57" i="34" s="1"/>
  <c r="CD57" i="34"/>
  <c r="HS57" i="34" s="1"/>
  <c r="CE57" i="34"/>
  <c r="HT57" i="34" s="1"/>
  <c r="CF57" i="34"/>
  <c r="HU57" i="34" s="1"/>
  <c r="CG57" i="34"/>
  <c r="HV57" i="34" s="1"/>
  <c r="CH57" i="34"/>
  <c r="HW57" i="34" s="1"/>
  <c r="CI57" i="34"/>
  <c r="HX57" i="34" s="1"/>
  <c r="CJ57" i="34"/>
  <c r="HY57" i="34" s="1"/>
  <c r="CK57" i="34"/>
  <c r="HZ57" i="34" s="1"/>
  <c r="CL57" i="34"/>
  <c r="IA57" i="34" s="1"/>
  <c r="CM57" i="34"/>
  <c r="IB57" i="34" s="1"/>
  <c r="CN57" i="34"/>
  <c r="IC57" i="34" s="1"/>
  <c r="CO57" i="34"/>
  <c r="ID57" i="34" s="1"/>
  <c r="CP57" i="34"/>
  <c r="IE57" i="34" s="1"/>
  <c r="CQ57" i="34"/>
  <c r="IF57" i="34" s="1"/>
  <c r="CR57" i="34"/>
  <c r="IG57" i="34" s="1"/>
  <c r="CS57" i="34"/>
  <c r="IH57" i="34" s="1"/>
  <c r="CT57" i="34"/>
  <c r="II57" i="34" s="1"/>
  <c r="CU57" i="34"/>
  <c r="IJ57" i="34" s="1"/>
  <c r="CV57" i="34"/>
  <c r="IK57" i="34" s="1"/>
  <c r="CW57" i="34"/>
  <c r="IL57" i="34" s="1"/>
  <c r="CX57" i="34"/>
  <c r="IM57" i="34" s="1"/>
  <c r="CY57" i="34"/>
  <c r="IN57" i="34" s="1"/>
  <c r="CZ57" i="34"/>
  <c r="IO57" i="34" s="1"/>
  <c r="DA57" i="34"/>
  <c r="IP57" i="34" s="1"/>
  <c r="DB57" i="34"/>
  <c r="IQ57" i="34" s="1"/>
  <c r="DC57" i="34"/>
  <c r="IR57" i="34" s="1"/>
  <c r="DD57" i="34"/>
  <c r="IS57" i="34" s="1"/>
  <c r="DE57" i="34"/>
  <c r="IT57" i="34" s="1"/>
  <c r="DF57" i="34"/>
  <c r="IU57" i="34" s="1"/>
  <c r="DG57" i="34"/>
  <c r="IV57" i="34" s="1"/>
  <c r="DH57" i="34"/>
  <c r="IW57" i="34" s="1"/>
  <c r="DI57" i="34"/>
  <c r="IX57" i="34" s="1"/>
  <c r="DJ57" i="34"/>
  <c r="IY57" i="34" s="1"/>
  <c r="DK57" i="34"/>
  <c r="IZ57" i="34" s="1"/>
  <c r="DL57" i="34"/>
  <c r="JA57" i="34" s="1"/>
  <c r="DM57" i="34"/>
  <c r="JB57" i="34" s="1"/>
  <c r="DN57" i="34"/>
  <c r="JC57" i="34" s="1"/>
  <c r="DO57" i="34"/>
  <c r="JD57" i="34" s="1"/>
  <c r="DP57" i="34"/>
  <c r="JE57" i="34" s="1"/>
  <c r="DQ57" i="34"/>
  <c r="JF57" i="34" s="1"/>
  <c r="DR57" i="34"/>
  <c r="JG57" i="34" s="1"/>
  <c r="DS57" i="34"/>
  <c r="JH57" i="34" s="1"/>
  <c r="DT57" i="34"/>
  <c r="JI57" i="34" s="1"/>
  <c r="DU57" i="34"/>
  <c r="JJ57" i="34" s="1"/>
  <c r="DV57" i="34"/>
  <c r="JK57" i="34" s="1"/>
  <c r="DW57" i="34"/>
  <c r="JL57" i="34" s="1"/>
  <c r="DX57" i="34"/>
  <c r="JM57" i="34" s="1"/>
  <c r="DY57" i="34"/>
  <c r="JN57" i="34" s="1"/>
  <c r="DZ57" i="34"/>
  <c r="JO57" i="34" s="1"/>
  <c r="EA57" i="34"/>
  <c r="JP57" i="34" s="1"/>
  <c r="EB57" i="34"/>
  <c r="JQ57" i="34" s="1"/>
  <c r="EC57" i="34"/>
  <c r="JR57" i="34" s="1"/>
  <c r="ED57" i="34"/>
  <c r="JS57" i="34" s="1"/>
  <c r="EE57" i="34"/>
  <c r="JT57" i="34" s="1"/>
  <c r="EF57" i="34"/>
  <c r="JU57" i="34" s="1"/>
  <c r="EG57" i="34"/>
  <c r="JV57" i="34" s="1"/>
  <c r="EH57" i="34"/>
  <c r="JW57" i="34" s="1"/>
  <c r="EI57" i="34"/>
  <c r="JX57" i="34" s="1"/>
  <c r="EJ57" i="34"/>
  <c r="JY57" i="34" s="1"/>
  <c r="EK57" i="34"/>
  <c r="JZ57" i="34" s="1"/>
  <c r="EL57" i="34"/>
  <c r="KA57" i="34" s="1"/>
  <c r="EM57" i="34"/>
  <c r="KB57" i="34" s="1"/>
  <c r="EN57" i="34"/>
  <c r="KC57" i="34" s="1"/>
  <c r="EO57" i="34"/>
  <c r="KD57" i="34" s="1"/>
  <c r="EP57" i="34"/>
  <c r="KE57" i="34" s="1"/>
  <c r="EQ57" i="34"/>
  <c r="KF57" i="34" s="1"/>
  <c r="ER57" i="34"/>
  <c r="KG57" i="34" s="1"/>
  <c r="E58" i="34"/>
  <c r="ET58" i="34" s="1"/>
  <c r="F58" i="34"/>
  <c r="EU58" i="34" s="1"/>
  <c r="G58" i="34"/>
  <c r="EV58" i="34" s="1"/>
  <c r="H58" i="34"/>
  <c r="EW58" i="34" s="1"/>
  <c r="I58" i="34"/>
  <c r="EX58" i="34" s="1"/>
  <c r="J58" i="34"/>
  <c r="EY58" i="34" s="1"/>
  <c r="K58" i="34"/>
  <c r="EZ58" i="34" s="1"/>
  <c r="L58" i="34"/>
  <c r="FA58" i="34" s="1"/>
  <c r="M58" i="34"/>
  <c r="FB58" i="34" s="1"/>
  <c r="N58" i="34"/>
  <c r="FC58" i="34" s="1"/>
  <c r="O58" i="34"/>
  <c r="FD58" i="34" s="1"/>
  <c r="P58" i="34"/>
  <c r="FE58" i="34" s="1"/>
  <c r="Q58" i="34"/>
  <c r="FF58" i="34" s="1"/>
  <c r="R58" i="34"/>
  <c r="FG58" i="34" s="1"/>
  <c r="S58" i="34"/>
  <c r="FH58" i="34" s="1"/>
  <c r="T58" i="34"/>
  <c r="FI58" i="34" s="1"/>
  <c r="U58" i="34"/>
  <c r="FJ58" i="34" s="1"/>
  <c r="V58" i="34"/>
  <c r="FK58" i="34" s="1"/>
  <c r="W58" i="34"/>
  <c r="FL58" i="34" s="1"/>
  <c r="X58" i="34"/>
  <c r="FM58" i="34" s="1"/>
  <c r="Y58" i="34"/>
  <c r="FN58" i="34" s="1"/>
  <c r="Z58" i="34"/>
  <c r="FO58" i="34" s="1"/>
  <c r="AA58" i="34"/>
  <c r="FP58" i="34" s="1"/>
  <c r="AB58" i="34"/>
  <c r="FQ58" i="34" s="1"/>
  <c r="AC58" i="34"/>
  <c r="FR58" i="34" s="1"/>
  <c r="AD58" i="34"/>
  <c r="FS58" i="34" s="1"/>
  <c r="AE58" i="34"/>
  <c r="FT58" i="34" s="1"/>
  <c r="AF58" i="34"/>
  <c r="FU58" i="34" s="1"/>
  <c r="AG58" i="34"/>
  <c r="FV58" i="34" s="1"/>
  <c r="AH58" i="34"/>
  <c r="FW58" i="34" s="1"/>
  <c r="AI58" i="34"/>
  <c r="FX58" i="34" s="1"/>
  <c r="AJ58" i="34"/>
  <c r="FY58" i="34" s="1"/>
  <c r="AK58" i="34"/>
  <c r="FZ58" i="34" s="1"/>
  <c r="AL58" i="34"/>
  <c r="GA58" i="34" s="1"/>
  <c r="AM58" i="34"/>
  <c r="GB58" i="34" s="1"/>
  <c r="AN58" i="34"/>
  <c r="GC58" i="34" s="1"/>
  <c r="AO58" i="34"/>
  <c r="GD58" i="34" s="1"/>
  <c r="AP58" i="34"/>
  <c r="GE58" i="34" s="1"/>
  <c r="AQ58" i="34"/>
  <c r="GF58" i="34" s="1"/>
  <c r="AR58" i="34"/>
  <c r="GG58" i="34" s="1"/>
  <c r="AS58" i="34"/>
  <c r="GH58" i="34" s="1"/>
  <c r="AT58" i="34"/>
  <c r="GI58" i="34" s="1"/>
  <c r="AU58" i="34"/>
  <c r="GJ58" i="34" s="1"/>
  <c r="AV58" i="34"/>
  <c r="GK58" i="34" s="1"/>
  <c r="AW58" i="34"/>
  <c r="GL58" i="34" s="1"/>
  <c r="AX58" i="34"/>
  <c r="GM58" i="34" s="1"/>
  <c r="AY58" i="34"/>
  <c r="GN58" i="34" s="1"/>
  <c r="AZ58" i="34"/>
  <c r="GO58" i="34" s="1"/>
  <c r="BA58" i="34"/>
  <c r="GP58" i="34" s="1"/>
  <c r="BB58" i="34"/>
  <c r="GQ58" i="34" s="1"/>
  <c r="BC58" i="34"/>
  <c r="GR58" i="34" s="1"/>
  <c r="BD58" i="34"/>
  <c r="GS58" i="34" s="1"/>
  <c r="BE58" i="34"/>
  <c r="GT58" i="34" s="1"/>
  <c r="BF58" i="34"/>
  <c r="GU58" i="34" s="1"/>
  <c r="BG58" i="34"/>
  <c r="GV58" i="34" s="1"/>
  <c r="BH58" i="34"/>
  <c r="GW58" i="34" s="1"/>
  <c r="BI58" i="34"/>
  <c r="GX58" i="34" s="1"/>
  <c r="BJ58" i="34"/>
  <c r="GY58" i="34" s="1"/>
  <c r="BK58" i="34"/>
  <c r="GZ58" i="34" s="1"/>
  <c r="BL58" i="34"/>
  <c r="HA58" i="34" s="1"/>
  <c r="BM58" i="34"/>
  <c r="HB58" i="34" s="1"/>
  <c r="BN58" i="34"/>
  <c r="HC58" i="34" s="1"/>
  <c r="BO58" i="34"/>
  <c r="HD58" i="34" s="1"/>
  <c r="BP58" i="34"/>
  <c r="HE58" i="34" s="1"/>
  <c r="BQ58" i="34"/>
  <c r="HF58" i="34" s="1"/>
  <c r="BR58" i="34"/>
  <c r="HG58" i="34" s="1"/>
  <c r="BS58" i="34"/>
  <c r="HH58" i="34" s="1"/>
  <c r="BT58" i="34"/>
  <c r="HI58" i="34" s="1"/>
  <c r="BU58" i="34"/>
  <c r="HJ58" i="34" s="1"/>
  <c r="BV58" i="34"/>
  <c r="HK58" i="34" s="1"/>
  <c r="BW58" i="34"/>
  <c r="HL58" i="34" s="1"/>
  <c r="BX58" i="34"/>
  <c r="HM58" i="34" s="1"/>
  <c r="BY58" i="34"/>
  <c r="HN58" i="34" s="1"/>
  <c r="BZ58" i="34"/>
  <c r="HO58" i="34" s="1"/>
  <c r="CA58" i="34"/>
  <c r="HP58" i="34" s="1"/>
  <c r="CB58" i="34"/>
  <c r="HQ58" i="34" s="1"/>
  <c r="CC58" i="34"/>
  <c r="HR58" i="34" s="1"/>
  <c r="CD58" i="34"/>
  <c r="HS58" i="34" s="1"/>
  <c r="CE58" i="34"/>
  <c r="HT58" i="34" s="1"/>
  <c r="CF58" i="34"/>
  <c r="HU58" i="34" s="1"/>
  <c r="CG58" i="34"/>
  <c r="HV58" i="34" s="1"/>
  <c r="CH58" i="34"/>
  <c r="HW58" i="34" s="1"/>
  <c r="CI58" i="34"/>
  <c r="HX58" i="34" s="1"/>
  <c r="CJ58" i="34"/>
  <c r="HY58" i="34" s="1"/>
  <c r="CK58" i="34"/>
  <c r="HZ58" i="34" s="1"/>
  <c r="CL58" i="34"/>
  <c r="IA58" i="34" s="1"/>
  <c r="CM58" i="34"/>
  <c r="IB58" i="34" s="1"/>
  <c r="CN58" i="34"/>
  <c r="IC58" i="34" s="1"/>
  <c r="CO58" i="34"/>
  <c r="ID58" i="34" s="1"/>
  <c r="CP58" i="34"/>
  <c r="IE58" i="34" s="1"/>
  <c r="CQ58" i="34"/>
  <c r="IF58" i="34" s="1"/>
  <c r="CR58" i="34"/>
  <c r="IG58" i="34" s="1"/>
  <c r="CS58" i="34"/>
  <c r="IH58" i="34" s="1"/>
  <c r="CT58" i="34"/>
  <c r="II58" i="34" s="1"/>
  <c r="CU58" i="34"/>
  <c r="IJ58" i="34" s="1"/>
  <c r="CV58" i="34"/>
  <c r="IK58" i="34" s="1"/>
  <c r="CW58" i="34"/>
  <c r="IL58" i="34" s="1"/>
  <c r="CX58" i="34"/>
  <c r="IM58" i="34" s="1"/>
  <c r="CY58" i="34"/>
  <c r="IN58" i="34" s="1"/>
  <c r="CZ58" i="34"/>
  <c r="IO58" i="34" s="1"/>
  <c r="DA58" i="34"/>
  <c r="IP58" i="34" s="1"/>
  <c r="DB58" i="34"/>
  <c r="IQ58" i="34" s="1"/>
  <c r="DC58" i="34"/>
  <c r="IR58" i="34" s="1"/>
  <c r="DD58" i="34"/>
  <c r="IS58" i="34" s="1"/>
  <c r="DE58" i="34"/>
  <c r="IT58" i="34" s="1"/>
  <c r="DF58" i="34"/>
  <c r="IU58" i="34" s="1"/>
  <c r="DG58" i="34"/>
  <c r="IV58" i="34" s="1"/>
  <c r="DH58" i="34"/>
  <c r="IW58" i="34" s="1"/>
  <c r="DI58" i="34"/>
  <c r="IX58" i="34" s="1"/>
  <c r="DJ58" i="34"/>
  <c r="IY58" i="34" s="1"/>
  <c r="DK58" i="34"/>
  <c r="IZ58" i="34" s="1"/>
  <c r="DL58" i="34"/>
  <c r="JA58" i="34" s="1"/>
  <c r="DM58" i="34"/>
  <c r="JB58" i="34" s="1"/>
  <c r="DN58" i="34"/>
  <c r="JC58" i="34" s="1"/>
  <c r="DO58" i="34"/>
  <c r="JD58" i="34" s="1"/>
  <c r="DP58" i="34"/>
  <c r="JE58" i="34" s="1"/>
  <c r="DQ58" i="34"/>
  <c r="JF58" i="34" s="1"/>
  <c r="DR58" i="34"/>
  <c r="JG58" i="34" s="1"/>
  <c r="DS58" i="34"/>
  <c r="JH58" i="34" s="1"/>
  <c r="DT58" i="34"/>
  <c r="JI58" i="34" s="1"/>
  <c r="DU58" i="34"/>
  <c r="JJ58" i="34" s="1"/>
  <c r="DV58" i="34"/>
  <c r="JK58" i="34" s="1"/>
  <c r="DW58" i="34"/>
  <c r="JL58" i="34" s="1"/>
  <c r="DX58" i="34"/>
  <c r="JM58" i="34" s="1"/>
  <c r="DY58" i="34"/>
  <c r="JN58" i="34" s="1"/>
  <c r="DZ58" i="34"/>
  <c r="JO58" i="34" s="1"/>
  <c r="EA58" i="34"/>
  <c r="JP58" i="34" s="1"/>
  <c r="EB58" i="34"/>
  <c r="JQ58" i="34" s="1"/>
  <c r="EC58" i="34"/>
  <c r="JR58" i="34" s="1"/>
  <c r="ED58" i="34"/>
  <c r="JS58" i="34" s="1"/>
  <c r="EE58" i="34"/>
  <c r="JT58" i="34" s="1"/>
  <c r="EF58" i="34"/>
  <c r="JU58" i="34" s="1"/>
  <c r="EG58" i="34"/>
  <c r="JV58" i="34" s="1"/>
  <c r="EH58" i="34"/>
  <c r="JW58" i="34" s="1"/>
  <c r="EI58" i="34"/>
  <c r="JX58" i="34" s="1"/>
  <c r="EJ58" i="34"/>
  <c r="JY58" i="34" s="1"/>
  <c r="EK58" i="34"/>
  <c r="JZ58" i="34" s="1"/>
  <c r="EL58" i="34"/>
  <c r="KA58" i="34" s="1"/>
  <c r="EM58" i="34"/>
  <c r="KB58" i="34" s="1"/>
  <c r="EN58" i="34"/>
  <c r="KC58" i="34" s="1"/>
  <c r="EO58" i="34"/>
  <c r="KD58" i="34" s="1"/>
  <c r="EP58" i="34"/>
  <c r="KE58" i="34" s="1"/>
  <c r="EQ58" i="34"/>
  <c r="KF58" i="34" s="1"/>
  <c r="ER58" i="34"/>
  <c r="KG58" i="34" s="1"/>
  <c r="ET59" i="34"/>
  <c r="EU59" i="34"/>
  <c r="EV59" i="34"/>
  <c r="EW59" i="34"/>
  <c r="EX59" i="34"/>
  <c r="EY59" i="34"/>
  <c r="EZ59" i="34"/>
  <c r="FA59" i="34"/>
  <c r="FC59" i="34"/>
  <c r="FD59" i="34"/>
  <c r="FE59" i="34"/>
  <c r="FF59" i="34"/>
  <c r="FG59" i="34"/>
  <c r="FH59" i="34"/>
  <c r="FI59" i="34"/>
  <c r="FK59" i="34"/>
  <c r="FL59" i="34"/>
  <c r="FM59" i="34"/>
  <c r="FN59" i="34"/>
  <c r="FO59" i="34"/>
  <c r="FP59" i="34"/>
  <c r="FQ59" i="34"/>
  <c r="FS59" i="34"/>
  <c r="FT59" i="34"/>
  <c r="FU59" i="34"/>
  <c r="FV59" i="34"/>
  <c r="FW59" i="34"/>
  <c r="FX59" i="34"/>
  <c r="FY59" i="34"/>
  <c r="GA59" i="34"/>
  <c r="GB59" i="34"/>
  <c r="GC59" i="34"/>
  <c r="GD59" i="34"/>
  <c r="GE59" i="34"/>
  <c r="GF59" i="34"/>
  <c r="GG59" i="34"/>
  <c r="GI59" i="34"/>
  <c r="GJ59" i="34"/>
  <c r="GK59" i="34"/>
  <c r="GL59" i="34"/>
  <c r="GM59" i="34"/>
  <c r="GN59" i="34"/>
  <c r="GO59" i="34"/>
  <c r="GQ59" i="34"/>
  <c r="GR59" i="34"/>
  <c r="GS59" i="34"/>
  <c r="GT59" i="34"/>
  <c r="GU59" i="34"/>
  <c r="GV59" i="34"/>
  <c r="GW59" i="34"/>
  <c r="GY59" i="34"/>
  <c r="GZ59" i="34"/>
  <c r="HA59" i="34"/>
  <c r="HB59" i="34"/>
  <c r="HC59" i="34"/>
  <c r="HD59" i="34"/>
  <c r="HE59" i="34"/>
  <c r="HG59" i="34"/>
  <c r="HH59" i="34"/>
  <c r="HI59" i="34"/>
  <c r="HJ59" i="34"/>
  <c r="HK59" i="34"/>
  <c r="HL59" i="34"/>
  <c r="HM59" i="34"/>
  <c r="HO59" i="34"/>
  <c r="HT59" i="34"/>
  <c r="E61" i="34"/>
  <c r="ET61" i="34" s="1"/>
  <c r="F61" i="34"/>
  <c r="EU61" i="34" s="1"/>
  <c r="G61" i="34"/>
  <c r="EV61" i="34" s="1"/>
  <c r="H61" i="34"/>
  <c r="EW61" i="34" s="1"/>
  <c r="I61" i="34"/>
  <c r="EX61" i="34" s="1"/>
  <c r="J61" i="34"/>
  <c r="EY61" i="34" s="1"/>
  <c r="K61" i="34"/>
  <c r="EZ61" i="34" s="1"/>
  <c r="L61" i="34"/>
  <c r="FA61" i="34" s="1"/>
  <c r="M61" i="34"/>
  <c r="FB61" i="34" s="1"/>
  <c r="N61" i="34"/>
  <c r="FC61" i="34" s="1"/>
  <c r="O61" i="34"/>
  <c r="FD61" i="34" s="1"/>
  <c r="P61" i="34"/>
  <c r="FE61" i="34" s="1"/>
  <c r="Q61" i="34"/>
  <c r="FF61" i="34" s="1"/>
  <c r="R61" i="34"/>
  <c r="FG61" i="34" s="1"/>
  <c r="S61" i="34"/>
  <c r="FH61" i="34" s="1"/>
  <c r="T61" i="34"/>
  <c r="FI61" i="34" s="1"/>
  <c r="U61" i="34"/>
  <c r="FJ61" i="34" s="1"/>
  <c r="V61" i="34"/>
  <c r="FK61" i="34" s="1"/>
  <c r="W61" i="34"/>
  <c r="FL61" i="34" s="1"/>
  <c r="X61" i="34"/>
  <c r="FM61" i="34" s="1"/>
  <c r="Y61" i="34"/>
  <c r="FN61" i="34" s="1"/>
  <c r="Z61" i="34"/>
  <c r="FO61" i="34" s="1"/>
  <c r="AA61" i="34"/>
  <c r="FP61" i="34" s="1"/>
  <c r="AB61" i="34"/>
  <c r="FQ61" i="34" s="1"/>
  <c r="AC61" i="34"/>
  <c r="FR61" i="34" s="1"/>
  <c r="AD61" i="34"/>
  <c r="FS61" i="34" s="1"/>
  <c r="AE61" i="34"/>
  <c r="FT61" i="34" s="1"/>
  <c r="AF61" i="34"/>
  <c r="FU61" i="34" s="1"/>
  <c r="AG61" i="34"/>
  <c r="FV61" i="34" s="1"/>
  <c r="AH61" i="34"/>
  <c r="FW61" i="34" s="1"/>
  <c r="AI61" i="34"/>
  <c r="FX61" i="34" s="1"/>
  <c r="AJ61" i="34"/>
  <c r="FY61" i="34" s="1"/>
  <c r="AK61" i="34"/>
  <c r="FZ61" i="34" s="1"/>
  <c r="AL61" i="34"/>
  <c r="GA61" i="34" s="1"/>
  <c r="AM61" i="34"/>
  <c r="GB61" i="34" s="1"/>
  <c r="AN61" i="34"/>
  <c r="GC61" i="34" s="1"/>
  <c r="AO61" i="34"/>
  <c r="GD61" i="34" s="1"/>
  <c r="AP61" i="34"/>
  <c r="GE61" i="34" s="1"/>
  <c r="AQ61" i="34"/>
  <c r="GF61" i="34" s="1"/>
  <c r="AR61" i="34"/>
  <c r="GG61" i="34" s="1"/>
  <c r="AS61" i="34"/>
  <c r="GH61" i="34" s="1"/>
  <c r="AT61" i="34"/>
  <c r="GI61" i="34" s="1"/>
  <c r="AU61" i="34"/>
  <c r="GJ61" i="34" s="1"/>
  <c r="AV61" i="34"/>
  <c r="GK61" i="34" s="1"/>
  <c r="AW61" i="34"/>
  <c r="GL61" i="34" s="1"/>
  <c r="AX61" i="34"/>
  <c r="GM61" i="34" s="1"/>
  <c r="AY61" i="34"/>
  <c r="GN61" i="34" s="1"/>
  <c r="AZ61" i="34"/>
  <c r="GO61" i="34" s="1"/>
  <c r="BA61" i="34"/>
  <c r="GP61" i="34" s="1"/>
  <c r="BB61" i="34"/>
  <c r="GQ61" i="34" s="1"/>
  <c r="BC61" i="34"/>
  <c r="GR61" i="34" s="1"/>
  <c r="BD61" i="34"/>
  <c r="GS61" i="34" s="1"/>
  <c r="BE61" i="34"/>
  <c r="GT61" i="34" s="1"/>
  <c r="BF61" i="34"/>
  <c r="GU61" i="34" s="1"/>
  <c r="BG61" i="34"/>
  <c r="GV61" i="34" s="1"/>
  <c r="BH61" i="34"/>
  <c r="GW61" i="34" s="1"/>
  <c r="BI61" i="34"/>
  <c r="GX61" i="34" s="1"/>
  <c r="BJ61" i="34"/>
  <c r="GY61" i="34" s="1"/>
  <c r="BK61" i="34"/>
  <c r="GZ61" i="34" s="1"/>
  <c r="BL61" i="34"/>
  <c r="HA61" i="34" s="1"/>
  <c r="BM61" i="34"/>
  <c r="HB61" i="34" s="1"/>
  <c r="BN61" i="34"/>
  <c r="HC61" i="34" s="1"/>
  <c r="BO61" i="34"/>
  <c r="HD61" i="34" s="1"/>
  <c r="BP61" i="34"/>
  <c r="HE61" i="34" s="1"/>
  <c r="BQ61" i="34"/>
  <c r="HF61" i="34" s="1"/>
  <c r="BR61" i="34"/>
  <c r="HG61" i="34" s="1"/>
  <c r="BS61" i="34"/>
  <c r="HH61" i="34" s="1"/>
  <c r="BT61" i="34"/>
  <c r="HI61" i="34" s="1"/>
  <c r="BU61" i="34"/>
  <c r="HJ61" i="34" s="1"/>
  <c r="BV61" i="34"/>
  <c r="HK61" i="34" s="1"/>
  <c r="BW61" i="34"/>
  <c r="HL61" i="34" s="1"/>
  <c r="BX61" i="34"/>
  <c r="HM61" i="34" s="1"/>
  <c r="BY61" i="34"/>
  <c r="HN61" i="34" s="1"/>
  <c r="BZ61" i="34"/>
  <c r="HO61" i="34" s="1"/>
  <c r="CA61" i="34"/>
  <c r="HP61" i="34" s="1"/>
  <c r="CB61" i="34"/>
  <c r="HQ61" i="34" s="1"/>
  <c r="CC61" i="34"/>
  <c r="HR61" i="34" s="1"/>
  <c r="CD61" i="34"/>
  <c r="HS61" i="34" s="1"/>
  <c r="CE61" i="34"/>
  <c r="HT61" i="34" s="1"/>
  <c r="CF61" i="34"/>
  <c r="HU61" i="34" s="1"/>
  <c r="CG61" i="34"/>
  <c r="HV61" i="34" s="1"/>
  <c r="CH61" i="34"/>
  <c r="HW61" i="34" s="1"/>
  <c r="CI61" i="34"/>
  <c r="HX61" i="34" s="1"/>
  <c r="CJ61" i="34"/>
  <c r="HY61" i="34" s="1"/>
  <c r="CK61" i="34"/>
  <c r="HZ61" i="34" s="1"/>
  <c r="CL61" i="34"/>
  <c r="IA61" i="34" s="1"/>
  <c r="CM61" i="34"/>
  <c r="IB61" i="34" s="1"/>
  <c r="CN61" i="34"/>
  <c r="IC61" i="34" s="1"/>
  <c r="CO61" i="34"/>
  <c r="ID61" i="34" s="1"/>
  <c r="CP61" i="34"/>
  <c r="IE61" i="34" s="1"/>
  <c r="CQ61" i="34"/>
  <c r="IF61" i="34" s="1"/>
  <c r="CR61" i="34"/>
  <c r="IG61" i="34" s="1"/>
  <c r="CS61" i="34"/>
  <c r="IH61" i="34" s="1"/>
  <c r="CT61" i="34"/>
  <c r="II61" i="34" s="1"/>
  <c r="CU61" i="34"/>
  <c r="IJ61" i="34" s="1"/>
  <c r="CV61" i="34"/>
  <c r="IK61" i="34" s="1"/>
  <c r="CW61" i="34"/>
  <c r="IL61" i="34" s="1"/>
  <c r="CX61" i="34"/>
  <c r="IM61" i="34" s="1"/>
  <c r="CY61" i="34"/>
  <c r="IN61" i="34" s="1"/>
  <c r="CZ61" i="34"/>
  <c r="IO61" i="34" s="1"/>
  <c r="DA61" i="34"/>
  <c r="IP61" i="34" s="1"/>
  <c r="DB61" i="34"/>
  <c r="IQ61" i="34" s="1"/>
  <c r="DC61" i="34"/>
  <c r="IR61" i="34" s="1"/>
  <c r="DD61" i="34"/>
  <c r="IS61" i="34" s="1"/>
  <c r="DE61" i="34"/>
  <c r="IT61" i="34" s="1"/>
  <c r="DF61" i="34"/>
  <c r="IU61" i="34" s="1"/>
  <c r="DG61" i="34"/>
  <c r="IV61" i="34" s="1"/>
  <c r="DH61" i="34"/>
  <c r="IW61" i="34" s="1"/>
  <c r="DI61" i="34"/>
  <c r="IX61" i="34" s="1"/>
  <c r="DJ61" i="34"/>
  <c r="IY61" i="34" s="1"/>
  <c r="DK61" i="34"/>
  <c r="IZ61" i="34" s="1"/>
  <c r="DL61" i="34"/>
  <c r="JA61" i="34" s="1"/>
  <c r="DM61" i="34"/>
  <c r="JB61" i="34" s="1"/>
  <c r="DN61" i="34"/>
  <c r="JC61" i="34" s="1"/>
  <c r="DO61" i="34"/>
  <c r="JD61" i="34" s="1"/>
  <c r="DP61" i="34"/>
  <c r="JE61" i="34" s="1"/>
  <c r="DQ61" i="34"/>
  <c r="JF61" i="34" s="1"/>
  <c r="DR61" i="34"/>
  <c r="JG61" i="34" s="1"/>
  <c r="DS61" i="34"/>
  <c r="JH61" i="34" s="1"/>
  <c r="DT61" i="34"/>
  <c r="JI61" i="34" s="1"/>
  <c r="DU61" i="34"/>
  <c r="JJ61" i="34" s="1"/>
  <c r="DV61" i="34"/>
  <c r="JK61" i="34" s="1"/>
  <c r="DW61" i="34"/>
  <c r="JL61" i="34" s="1"/>
  <c r="DX61" i="34"/>
  <c r="JM61" i="34" s="1"/>
  <c r="DY61" i="34"/>
  <c r="JN61" i="34" s="1"/>
  <c r="DZ61" i="34"/>
  <c r="JO61" i="34" s="1"/>
  <c r="EA61" i="34"/>
  <c r="JP61" i="34" s="1"/>
  <c r="EB61" i="34"/>
  <c r="JQ61" i="34" s="1"/>
  <c r="EC61" i="34"/>
  <c r="JR61" i="34" s="1"/>
  <c r="ED61" i="34"/>
  <c r="JS61" i="34" s="1"/>
  <c r="EE61" i="34"/>
  <c r="JT61" i="34" s="1"/>
  <c r="EF61" i="34"/>
  <c r="JU61" i="34" s="1"/>
  <c r="EG61" i="34"/>
  <c r="JV61" i="34" s="1"/>
  <c r="EH61" i="34"/>
  <c r="JW61" i="34" s="1"/>
  <c r="EI61" i="34"/>
  <c r="JX61" i="34" s="1"/>
  <c r="EJ61" i="34"/>
  <c r="JY61" i="34" s="1"/>
  <c r="EK61" i="34"/>
  <c r="JZ61" i="34" s="1"/>
  <c r="EL61" i="34"/>
  <c r="KA61" i="34" s="1"/>
  <c r="EM61" i="34"/>
  <c r="KB61" i="34" s="1"/>
  <c r="EN61" i="34"/>
  <c r="KC61" i="34" s="1"/>
  <c r="EO61" i="34"/>
  <c r="KD61" i="34" s="1"/>
  <c r="EP61" i="34"/>
  <c r="KE61" i="34" s="1"/>
  <c r="EQ61" i="34"/>
  <c r="KF61" i="34" s="1"/>
  <c r="ER61" i="34"/>
  <c r="KG61" i="34" s="1"/>
  <c r="E62" i="34"/>
  <c r="ET62" i="34" s="1"/>
  <c r="F62" i="34"/>
  <c r="EU62" i="34" s="1"/>
  <c r="G62" i="34"/>
  <c r="EV62" i="34" s="1"/>
  <c r="H62" i="34"/>
  <c r="EW62" i="34" s="1"/>
  <c r="I62" i="34"/>
  <c r="EX62" i="34" s="1"/>
  <c r="J62" i="34"/>
  <c r="EY62" i="34" s="1"/>
  <c r="K62" i="34"/>
  <c r="EZ62" i="34" s="1"/>
  <c r="L62" i="34"/>
  <c r="FA62" i="34" s="1"/>
  <c r="M62" i="34"/>
  <c r="FB62" i="34" s="1"/>
  <c r="N62" i="34"/>
  <c r="FC62" i="34" s="1"/>
  <c r="O62" i="34"/>
  <c r="FD62" i="34" s="1"/>
  <c r="P62" i="34"/>
  <c r="FE62" i="34" s="1"/>
  <c r="Q62" i="34"/>
  <c r="FF62" i="34" s="1"/>
  <c r="R62" i="34"/>
  <c r="FG62" i="34" s="1"/>
  <c r="S62" i="34"/>
  <c r="FH62" i="34" s="1"/>
  <c r="T62" i="34"/>
  <c r="FI62" i="34" s="1"/>
  <c r="U62" i="34"/>
  <c r="FJ62" i="34" s="1"/>
  <c r="V62" i="34"/>
  <c r="FK62" i="34" s="1"/>
  <c r="W62" i="34"/>
  <c r="FL62" i="34" s="1"/>
  <c r="X62" i="34"/>
  <c r="FM62" i="34" s="1"/>
  <c r="Y62" i="34"/>
  <c r="FN62" i="34" s="1"/>
  <c r="Z62" i="34"/>
  <c r="FO62" i="34" s="1"/>
  <c r="AA62" i="34"/>
  <c r="FP62" i="34" s="1"/>
  <c r="AB62" i="34"/>
  <c r="FQ62" i="34" s="1"/>
  <c r="AC62" i="34"/>
  <c r="FR62" i="34" s="1"/>
  <c r="AD62" i="34"/>
  <c r="FS62" i="34" s="1"/>
  <c r="AE62" i="34"/>
  <c r="FT62" i="34" s="1"/>
  <c r="AF62" i="34"/>
  <c r="FU62" i="34" s="1"/>
  <c r="AG62" i="34"/>
  <c r="FV62" i="34" s="1"/>
  <c r="AH62" i="34"/>
  <c r="FW62" i="34" s="1"/>
  <c r="AI62" i="34"/>
  <c r="FX62" i="34" s="1"/>
  <c r="AJ62" i="34"/>
  <c r="FY62" i="34" s="1"/>
  <c r="AK62" i="34"/>
  <c r="FZ62" i="34" s="1"/>
  <c r="AL62" i="34"/>
  <c r="GA62" i="34" s="1"/>
  <c r="AM62" i="34"/>
  <c r="GB62" i="34" s="1"/>
  <c r="AN62" i="34"/>
  <c r="GC62" i="34" s="1"/>
  <c r="AO62" i="34"/>
  <c r="GD62" i="34" s="1"/>
  <c r="AP62" i="34"/>
  <c r="GE62" i="34" s="1"/>
  <c r="AQ62" i="34"/>
  <c r="GF62" i="34" s="1"/>
  <c r="AR62" i="34"/>
  <c r="GG62" i="34" s="1"/>
  <c r="AS62" i="34"/>
  <c r="GH62" i="34" s="1"/>
  <c r="AT62" i="34"/>
  <c r="GI62" i="34" s="1"/>
  <c r="AU62" i="34"/>
  <c r="GJ62" i="34" s="1"/>
  <c r="AV62" i="34"/>
  <c r="GK62" i="34" s="1"/>
  <c r="AW62" i="34"/>
  <c r="GL62" i="34" s="1"/>
  <c r="AX62" i="34"/>
  <c r="GM62" i="34" s="1"/>
  <c r="AY62" i="34"/>
  <c r="GN62" i="34" s="1"/>
  <c r="AZ62" i="34"/>
  <c r="GO62" i="34" s="1"/>
  <c r="BA62" i="34"/>
  <c r="GP62" i="34" s="1"/>
  <c r="BB62" i="34"/>
  <c r="GQ62" i="34" s="1"/>
  <c r="BC62" i="34"/>
  <c r="GR62" i="34" s="1"/>
  <c r="BD62" i="34"/>
  <c r="GS62" i="34" s="1"/>
  <c r="BE62" i="34"/>
  <c r="GT62" i="34" s="1"/>
  <c r="BF62" i="34"/>
  <c r="GU62" i="34" s="1"/>
  <c r="BG62" i="34"/>
  <c r="GV62" i="34" s="1"/>
  <c r="BH62" i="34"/>
  <c r="GW62" i="34" s="1"/>
  <c r="BI62" i="34"/>
  <c r="GX62" i="34" s="1"/>
  <c r="BJ62" i="34"/>
  <c r="GY62" i="34" s="1"/>
  <c r="BK62" i="34"/>
  <c r="GZ62" i="34" s="1"/>
  <c r="BL62" i="34"/>
  <c r="HA62" i="34" s="1"/>
  <c r="BM62" i="34"/>
  <c r="HB62" i="34" s="1"/>
  <c r="BN62" i="34"/>
  <c r="HC62" i="34" s="1"/>
  <c r="BO62" i="34"/>
  <c r="HD62" i="34" s="1"/>
  <c r="BP62" i="34"/>
  <c r="HE62" i="34" s="1"/>
  <c r="BQ62" i="34"/>
  <c r="HF62" i="34" s="1"/>
  <c r="BR62" i="34"/>
  <c r="HG62" i="34" s="1"/>
  <c r="BS62" i="34"/>
  <c r="HH62" i="34" s="1"/>
  <c r="BT62" i="34"/>
  <c r="HI62" i="34" s="1"/>
  <c r="BU62" i="34"/>
  <c r="HJ62" i="34" s="1"/>
  <c r="BV62" i="34"/>
  <c r="HK62" i="34" s="1"/>
  <c r="BW62" i="34"/>
  <c r="HL62" i="34" s="1"/>
  <c r="BX62" i="34"/>
  <c r="HM62" i="34" s="1"/>
  <c r="BY62" i="34"/>
  <c r="HN62" i="34" s="1"/>
  <c r="BZ62" i="34"/>
  <c r="HO62" i="34" s="1"/>
  <c r="CA62" i="34"/>
  <c r="HP62" i="34" s="1"/>
  <c r="CB62" i="34"/>
  <c r="HQ62" i="34" s="1"/>
  <c r="CC62" i="34"/>
  <c r="HR62" i="34" s="1"/>
  <c r="CD62" i="34"/>
  <c r="HS62" i="34" s="1"/>
  <c r="CE62" i="34"/>
  <c r="HT62" i="34" s="1"/>
  <c r="CF62" i="34"/>
  <c r="HU62" i="34" s="1"/>
  <c r="CG62" i="34"/>
  <c r="HV62" i="34" s="1"/>
  <c r="CH62" i="34"/>
  <c r="HW62" i="34" s="1"/>
  <c r="CI62" i="34"/>
  <c r="HX62" i="34" s="1"/>
  <c r="CJ62" i="34"/>
  <c r="HY62" i="34" s="1"/>
  <c r="CK62" i="34"/>
  <c r="HZ62" i="34" s="1"/>
  <c r="CL62" i="34"/>
  <c r="IA62" i="34" s="1"/>
  <c r="CM62" i="34"/>
  <c r="IB62" i="34" s="1"/>
  <c r="CN62" i="34"/>
  <c r="IC62" i="34" s="1"/>
  <c r="CO62" i="34"/>
  <c r="ID62" i="34" s="1"/>
  <c r="CP62" i="34"/>
  <c r="IE62" i="34" s="1"/>
  <c r="CQ62" i="34"/>
  <c r="IF62" i="34" s="1"/>
  <c r="CR62" i="34"/>
  <c r="IG62" i="34" s="1"/>
  <c r="CS62" i="34"/>
  <c r="IH62" i="34" s="1"/>
  <c r="CT62" i="34"/>
  <c r="II62" i="34" s="1"/>
  <c r="CU62" i="34"/>
  <c r="IJ62" i="34" s="1"/>
  <c r="CV62" i="34"/>
  <c r="IK62" i="34" s="1"/>
  <c r="CW62" i="34"/>
  <c r="IL62" i="34" s="1"/>
  <c r="CX62" i="34"/>
  <c r="IM62" i="34" s="1"/>
  <c r="CY62" i="34"/>
  <c r="IN62" i="34" s="1"/>
  <c r="CZ62" i="34"/>
  <c r="IO62" i="34" s="1"/>
  <c r="DA62" i="34"/>
  <c r="IP62" i="34" s="1"/>
  <c r="DB62" i="34"/>
  <c r="IQ62" i="34" s="1"/>
  <c r="DC62" i="34"/>
  <c r="IR62" i="34" s="1"/>
  <c r="DD62" i="34"/>
  <c r="IS62" i="34" s="1"/>
  <c r="DE62" i="34"/>
  <c r="IT62" i="34" s="1"/>
  <c r="DF62" i="34"/>
  <c r="IU62" i="34" s="1"/>
  <c r="DG62" i="34"/>
  <c r="IV62" i="34" s="1"/>
  <c r="DH62" i="34"/>
  <c r="IW62" i="34" s="1"/>
  <c r="DI62" i="34"/>
  <c r="IX62" i="34" s="1"/>
  <c r="DJ62" i="34"/>
  <c r="IY62" i="34" s="1"/>
  <c r="DK62" i="34"/>
  <c r="IZ62" i="34" s="1"/>
  <c r="DL62" i="34"/>
  <c r="JA62" i="34" s="1"/>
  <c r="DM62" i="34"/>
  <c r="JB62" i="34" s="1"/>
  <c r="DN62" i="34"/>
  <c r="JC62" i="34" s="1"/>
  <c r="DO62" i="34"/>
  <c r="JD62" i="34" s="1"/>
  <c r="DP62" i="34"/>
  <c r="JE62" i="34" s="1"/>
  <c r="DQ62" i="34"/>
  <c r="JF62" i="34" s="1"/>
  <c r="DR62" i="34"/>
  <c r="JG62" i="34" s="1"/>
  <c r="DS62" i="34"/>
  <c r="JH62" i="34" s="1"/>
  <c r="DT62" i="34"/>
  <c r="JI62" i="34" s="1"/>
  <c r="DU62" i="34"/>
  <c r="JJ62" i="34" s="1"/>
  <c r="DV62" i="34"/>
  <c r="JK62" i="34" s="1"/>
  <c r="DW62" i="34"/>
  <c r="JL62" i="34" s="1"/>
  <c r="DX62" i="34"/>
  <c r="JM62" i="34" s="1"/>
  <c r="DY62" i="34"/>
  <c r="JN62" i="34" s="1"/>
  <c r="DZ62" i="34"/>
  <c r="JO62" i="34" s="1"/>
  <c r="EA62" i="34"/>
  <c r="JP62" i="34" s="1"/>
  <c r="EB62" i="34"/>
  <c r="JQ62" i="34" s="1"/>
  <c r="EC62" i="34"/>
  <c r="JR62" i="34" s="1"/>
  <c r="ED62" i="34"/>
  <c r="JS62" i="34" s="1"/>
  <c r="EE62" i="34"/>
  <c r="JT62" i="34" s="1"/>
  <c r="EF62" i="34"/>
  <c r="JU62" i="34" s="1"/>
  <c r="EG62" i="34"/>
  <c r="JV62" i="34" s="1"/>
  <c r="EH62" i="34"/>
  <c r="JW62" i="34" s="1"/>
  <c r="EI62" i="34"/>
  <c r="JX62" i="34" s="1"/>
  <c r="EJ62" i="34"/>
  <c r="JY62" i="34" s="1"/>
  <c r="EK62" i="34"/>
  <c r="JZ62" i="34" s="1"/>
  <c r="EL62" i="34"/>
  <c r="KA62" i="34" s="1"/>
  <c r="EM62" i="34"/>
  <c r="KB62" i="34" s="1"/>
  <c r="EN62" i="34"/>
  <c r="KC62" i="34" s="1"/>
  <c r="EO62" i="34"/>
  <c r="KD62" i="34" s="1"/>
  <c r="EP62" i="34"/>
  <c r="KE62" i="34" s="1"/>
  <c r="EQ62" i="34"/>
  <c r="KF62" i="34" s="1"/>
  <c r="ER62" i="34"/>
  <c r="KG62" i="34" s="1"/>
  <c r="TW51" i="34"/>
  <c r="TX51" i="34"/>
  <c r="TY51" i="34"/>
  <c r="TZ51" i="34"/>
  <c r="UA51" i="34"/>
  <c r="UB51" i="34"/>
  <c r="UC51" i="34"/>
  <c r="UD51" i="34"/>
  <c r="TM51" i="34"/>
  <c r="TN51" i="34"/>
  <c r="TO51" i="34"/>
  <c r="TP51" i="34"/>
  <c r="TQ51" i="34"/>
  <c r="TR51" i="34"/>
  <c r="TS51" i="34"/>
  <c r="TT51" i="34"/>
  <c r="TC51" i="34"/>
  <c r="TD51" i="34"/>
  <c r="TE51" i="34"/>
  <c r="TF51" i="34"/>
  <c r="TG51" i="34"/>
  <c r="TH51" i="34"/>
  <c r="TI51" i="34"/>
  <c r="TJ51" i="34"/>
  <c r="TV51" i="34"/>
  <c r="TL51" i="34"/>
  <c r="TB51" i="34"/>
  <c r="SS51" i="34"/>
  <c r="ST51" i="34"/>
  <c r="SU51" i="34"/>
  <c r="SV51" i="34"/>
  <c r="SW51" i="34"/>
  <c r="SX51" i="34"/>
  <c r="SY51" i="34"/>
  <c r="SZ51" i="34"/>
  <c r="SR51" i="34"/>
  <c r="SH51" i="34"/>
  <c r="SI51" i="34"/>
  <c r="SJ51" i="34"/>
  <c r="SK51" i="34"/>
  <c r="SL51" i="34"/>
  <c r="SM51" i="34"/>
  <c r="SN51" i="34"/>
  <c r="SO51" i="34"/>
  <c r="SG51" i="34"/>
  <c r="RX51" i="34"/>
  <c r="RY51" i="34"/>
  <c r="RZ51" i="34"/>
  <c r="SA51" i="34"/>
  <c r="SB51" i="34"/>
  <c r="SC51" i="34"/>
  <c r="SD51" i="34"/>
  <c r="SE51" i="34"/>
  <c r="RW51" i="34"/>
  <c r="RM51" i="34"/>
  <c r="RU51" i="34"/>
  <c r="RT51" i="34"/>
  <c r="RS51" i="34"/>
  <c r="RR51" i="34"/>
  <c r="RQ51" i="34"/>
  <c r="RP51" i="34"/>
  <c r="RO51" i="34"/>
  <c r="RN51" i="34"/>
  <c r="RD51" i="34"/>
  <c r="RE51" i="34"/>
  <c r="RF51" i="34"/>
  <c r="RG51" i="34"/>
  <c r="RH51" i="34"/>
  <c r="RI51" i="34"/>
  <c r="RJ51" i="34"/>
  <c r="RK51" i="34"/>
  <c r="RC51" i="34"/>
  <c r="QZ107" i="34"/>
  <c r="QZ108" i="34"/>
  <c r="QZ109" i="34"/>
  <c r="QE107" i="34"/>
  <c r="QH107" i="34"/>
  <c r="QJ107" i="34"/>
  <c r="QL107" i="34"/>
  <c r="QN107" i="34"/>
  <c r="QP107" i="34"/>
  <c r="QE108" i="34"/>
  <c r="QH108" i="34"/>
  <c r="QJ108" i="34"/>
  <c r="QL108" i="34"/>
  <c r="QN108" i="34"/>
  <c r="QP108" i="34"/>
  <c r="QE109" i="34"/>
  <c r="QH109" i="34"/>
  <c r="QJ109" i="34"/>
  <c r="QL109" i="34"/>
  <c r="QN109" i="34"/>
  <c r="QP109" i="34"/>
  <c r="PZ27" i="34"/>
  <c r="PY27" i="34"/>
  <c r="PX27" i="34"/>
  <c r="PW27" i="34"/>
  <c r="PV27" i="34"/>
  <c r="PU27" i="34"/>
  <c r="PT27" i="34"/>
  <c r="PS27" i="34"/>
  <c r="PR27" i="34"/>
  <c r="PQ27" i="34"/>
  <c r="PP27" i="34"/>
  <c r="PO27" i="34"/>
  <c r="PN27" i="34"/>
  <c r="PM27" i="34"/>
  <c r="PL27" i="34"/>
  <c r="PK27" i="34"/>
  <c r="PJ27" i="34"/>
  <c r="PI27" i="34"/>
  <c r="PH27" i="34"/>
  <c r="PG27" i="34"/>
  <c r="PF27" i="34"/>
  <c r="PE27" i="34"/>
  <c r="PD27" i="34"/>
  <c r="PC27" i="34"/>
  <c r="PB27" i="34"/>
  <c r="PA27" i="34"/>
  <c r="OZ27" i="34"/>
  <c r="OY27" i="34"/>
  <c r="OX27" i="34"/>
  <c r="OW27" i="34"/>
  <c r="OV27" i="34"/>
  <c r="OU27" i="34"/>
  <c r="OT27" i="34"/>
  <c r="OS27" i="34"/>
  <c r="OR27" i="34"/>
  <c r="OQ27" i="34"/>
  <c r="OP27" i="34"/>
  <c r="OO27" i="34"/>
  <c r="ON27" i="34"/>
  <c r="OM27" i="34"/>
  <c r="OL27" i="34"/>
  <c r="OK27" i="34"/>
  <c r="OJ27" i="34"/>
  <c r="OI27" i="34"/>
  <c r="OH27" i="34"/>
  <c r="OG27" i="34"/>
  <c r="OF27" i="34"/>
  <c r="OE27" i="34"/>
  <c r="OD27" i="34"/>
  <c r="OC27" i="34"/>
  <c r="OB27" i="34"/>
  <c r="OA27" i="34"/>
  <c r="NZ27" i="34"/>
  <c r="NY27" i="34"/>
  <c r="NX27" i="34"/>
  <c r="NW27" i="34"/>
  <c r="NV27" i="34"/>
  <c r="NU27" i="34"/>
  <c r="NT27" i="34"/>
  <c r="NS27" i="34"/>
  <c r="NR27" i="34"/>
  <c r="NQ27" i="34"/>
  <c r="NP27" i="34"/>
  <c r="NO27" i="34"/>
  <c r="NN27" i="34"/>
  <c r="NM27" i="34"/>
  <c r="NL27" i="34"/>
  <c r="NK27" i="34"/>
  <c r="NJ27" i="34"/>
  <c r="NI27" i="34"/>
  <c r="NH27" i="34"/>
  <c r="NG27" i="34"/>
  <c r="NF27" i="34"/>
  <c r="NE27" i="34"/>
  <c r="ND27" i="34"/>
  <c r="NC27" i="34"/>
  <c r="NB27" i="34"/>
  <c r="NA27" i="34"/>
  <c r="MZ27" i="34"/>
  <c r="MY27" i="34"/>
  <c r="MX27" i="34"/>
  <c r="MW27" i="34"/>
  <c r="MV27" i="34"/>
  <c r="MU27" i="34"/>
  <c r="MT27" i="34"/>
  <c r="MS27" i="34"/>
  <c r="MR27" i="34"/>
  <c r="MQ27" i="34"/>
  <c r="MP27" i="34"/>
  <c r="MO27" i="34"/>
  <c r="MN27" i="34"/>
  <c r="MM27" i="34"/>
  <c r="ML27" i="34"/>
  <c r="MK27" i="34"/>
  <c r="MJ27" i="34"/>
  <c r="MI27" i="34"/>
  <c r="MH27" i="34"/>
  <c r="MG27" i="34"/>
  <c r="MF27" i="34"/>
  <c r="ME27" i="34"/>
  <c r="MD27" i="34"/>
  <c r="MC27" i="34"/>
  <c r="MB27" i="34"/>
  <c r="MA27" i="34"/>
  <c r="LZ27" i="34"/>
  <c r="LY27" i="34"/>
  <c r="LX27" i="34"/>
  <c r="LW27" i="34"/>
  <c r="LV27" i="34"/>
  <c r="LU27" i="34"/>
  <c r="LT27" i="34"/>
  <c r="LS27" i="34"/>
  <c r="LR27" i="34"/>
  <c r="LQ27" i="34"/>
  <c r="LP27" i="34"/>
  <c r="LO27" i="34"/>
  <c r="LN27" i="34"/>
  <c r="LM27" i="34"/>
  <c r="LL27" i="34"/>
  <c r="LK27" i="34"/>
  <c r="LJ27" i="34"/>
  <c r="LI27" i="34"/>
  <c r="LH27" i="34"/>
  <c r="LG27" i="34"/>
  <c r="LF27" i="34"/>
  <c r="LE27" i="34"/>
  <c r="LD27" i="34"/>
  <c r="LC27" i="34"/>
  <c r="LB27" i="34"/>
  <c r="LA27" i="34"/>
  <c r="KZ27" i="34"/>
  <c r="KY27" i="34"/>
  <c r="KX27" i="34"/>
  <c r="KW27" i="34"/>
  <c r="KV27" i="34"/>
  <c r="KU27" i="34"/>
  <c r="KT27" i="34"/>
  <c r="KS27" i="34"/>
  <c r="KR27" i="34"/>
  <c r="KQ27" i="34"/>
  <c r="KP27" i="34"/>
  <c r="KO27" i="34"/>
  <c r="KN27" i="34"/>
  <c r="KM27" i="34"/>
  <c r="PZ26" i="34"/>
  <c r="PY26" i="34"/>
  <c r="PX26" i="34"/>
  <c r="PW26" i="34"/>
  <c r="PV26" i="34"/>
  <c r="PU26" i="34"/>
  <c r="PT26" i="34"/>
  <c r="PS26" i="34"/>
  <c r="PR26" i="34"/>
  <c r="PQ26" i="34"/>
  <c r="PP26" i="34"/>
  <c r="PO26" i="34"/>
  <c r="PN26" i="34"/>
  <c r="PM26" i="34"/>
  <c r="PL26" i="34"/>
  <c r="PK26" i="34"/>
  <c r="PJ26" i="34"/>
  <c r="PI26" i="34"/>
  <c r="PH26" i="34"/>
  <c r="PG26" i="34"/>
  <c r="PF26" i="34"/>
  <c r="PE26" i="34"/>
  <c r="PD26" i="34"/>
  <c r="PC26" i="34"/>
  <c r="PB26" i="34"/>
  <c r="PA26" i="34"/>
  <c r="OZ26" i="34"/>
  <c r="OY26" i="34"/>
  <c r="OX26" i="34"/>
  <c r="OW26" i="34"/>
  <c r="OV26" i="34"/>
  <c r="OU26" i="34"/>
  <c r="OT26" i="34"/>
  <c r="OS26" i="34"/>
  <c r="OR26" i="34"/>
  <c r="OQ26" i="34"/>
  <c r="OP26" i="34"/>
  <c r="OO26" i="34"/>
  <c r="ON26" i="34"/>
  <c r="OM26" i="34"/>
  <c r="OL26" i="34"/>
  <c r="OK26" i="34"/>
  <c r="OJ26" i="34"/>
  <c r="OI26" i="34"/>
  <c r="OH26" i="34"/>
  <c r="OG26" i="34"/>
  <c r="OF26" i="34"/>
  <c r="OE26" i="34"/>
  <c r="OD26" i="34"/>
  <c r="OC26" i="34"/>
  <c r="OB26" i="34"/>
  <c r="OA26" i="34"/>
  <c r="NZ26" i="34"/>
  <c r="NY26" i="34"/>
  <c r="NX26" i="34"/>
  <c r="NW26" i="34"/>
  <c r="NV26" i="34"/>
  <c r="NU26" i="34"/>
  <c r="NT26" i="34"/>
  <c r="NS26" i="34"/>
  <c r="NR26" i="34"/>
  <c r="NQ26" i="34"/>
  <c r="NP26" i="34"/>
  <c r="NO26" i="34"/>
  <c r="NN26" i="34"/>
  <c r="NM26" i="34"/>
  <c r="NL26" i="34"/>
  <c r="NK26" i="34"/>
  <c r="NJ26" i="34"/>
  <c r="NI26" i="34"/>
  <c r="NH26" i="34"/>
  <c r="NG26" i="34"/>
  <c r="NF26" i="34"/>
  <c r="NE26" i="34"/>
  <c r="ND26" i="34"/>
  <c r="NC26" i="34"/>
  <c r="NB26" i="34"/>
  <c r="NA26" i="34"/>
  <c r="MZ26" i="34"/>
  <c r="MY26" i="34"/>
  <c r="MX26" i="34"/>
  <c r="MW26" i="34"/>
  <c r="MV26" i="34"/>
  <c r="MU26" i="34"/>
  <c r="MT26" i="34"/>
  <c r="MS26" i="34"/>
  <c r="MR26" i="34"/>
  <c r="MQ26" i="34"/>
  <c r="MP26" i="34"/>
  <c r="MO26" i="34"/>
  <c r="MN26" i="34"/>
  <c r="MM26" i="34"/>
  <c r="ML26" i="34"/>
  <c r="MK26" i="34"/>
  <c r="MJ26" i="34"/>
  <c r="MI26" i="34"/>
  <c r="MH26" i="34"/>
  <c r="MG26" i="34"/>
  <c r="MF26" i="34"/>
  <c r="ME26" i="34"/>
  <c r="MD26" i="34"/>
  <c r="MC26" i="34"/>
  <c r="MB26" i="34"/>
  <c r="MA26" i="34"/>
  <c r="LZ26" i="34"/>
  <c r="LY26" i="34"/>
  <c r="LX26" i="34"/>
  <c r="LW26" i="34"/>
  <c r="LV26" i="34"/>
  <c r="LU26" i="34"/>
  <c r="LT26" i="34"/>
  <c r="LS26" i="34"/>
  <c r="LR26" i="34"/>
  <c r="LQ26" i="34"/>
  <c r="LP26" i="34"/>
  <c r="LO26" i="34"/>
  <c r="LN26" i="34"/>
  <c r="LM26" i="34"/>
  <c r="LL26" i="34"/>
  <c r="LK26" i="34"/>
  <c r="LJ26" i="34"/>
  <c r="LI26" i="34"/>
  <c r="LH26" i="34"/>
  <c r="LG26" i="34"/>
  <c r="LF26" i="34"/>
  <c r="LE26" i="34"/>
  <c r="LD26" i="34"/>
  <c r="LC26" i="34"/>
  <c r="LB26" i="34"/>
  <c r="LA26" i="34"/>
  <c r="KZ26" i="34"/>
  <c r="KY26" i="34"/>
  <c r="KX26" i="34"/>
  <c r="KW26" i="34"/>
  <c r="KV26" i="34"/>
  <c r="KU26" i="34"/>
  <c r="KT26" i="34"/>
  <c r="KS26" i="34"/>
  <c r="KR26" i="34"/>
  <c r="KQ26" i="34"/>
  <c r="KP26" i="34"/>
  <c r="KO26" i="34"/>
  <c r="KN26" i="34"/>
  <c r="KM26" i="34"/>
  <c r="PZ25" i="34"/>
  <c r="PY25" i="34"/>
  <c r="PX25" i="34"/>
  <c r="PW25" i="34"/>
  <c r="PV25" i="34"/>
  <c r="PU25" i="34"/>
  <c r="PT25" i="34"/>
  <c r="PS25" i="34"/>
  <c r="PR25" i="34"/>
  <c r="PQ25" i="34"/>
  <c r="PP25" i="34"/>
  <c r="PO25" i="34"/>
  <c r="PN25" i="34"/>
  <c r="PM25" i="34"/>
  <c r="PL25" i="34"/>
  <c r="PK25" i="34"/>
  <c r="PJ25" i="34"/>
  <c r="PI25" i="34"/>
  <c r="PH25" i="34"/>
  <c r="PG25" i="34"/>
  <c r="PF25" i="34"/>
  <c r="PE25" i="34"/>
  <c r="PD25" i="34"/>
  <c r="PC25" i="34"/>
  <c r="PB25" i="34"/>
  <c r="PA25" i="34"/>
  <c r="OZ25" i="34"/>
  <c r="OY25" i="34"/>
  <c r="OX25" i="34"/>
  <c r="OW25" i="34"/>
  <c r="OV25" i="34"/>
  <c r="OU25" i="34"/>
  <c r="OT25" i="34"/>
  <c r="OS25" i="34"/>
  <c r="OR25" i="34"/>
  <c r="OQ25" i="34"/>
  <c r="OP25" i="34"/>
  <c r="OO25" i="34"/>
  <c r="ON25" i="34"/>
  <c r="OM25" i="34"/>
  <c r="OL25" i="34"/>
  <c r="OK25" i="34"/>
  <c r="OJ25" i="34"/>
  <c r="OI25" i="34"/>
  <c r="OH25" i="34"/>
  <c r="OG25" i="34"/>
  <c r="OF25" i="34"/>
  <c r="OE25" i="34"/>
  <c r="OD25" i="34"/>
  <c r="OC25" i="34"/>
  <c r="OB25" i="34"/>
  <c r="OA25" i="34"/>
  <c r="NZ25" i="34"/>
  <c r="NY25" i="34"/>
  <c r="NX25" i="34"/>
  <c r="NW25" i="34"/>
  <c r="NV25" i="34"/>
  <c r="NU25" i="34"/>
  <c r="NT25" i="34"/>
  <c r="NS25" i="34"/>
  <c r="NR25" i="34"/>
  <c r="NQ25" i="34"/>
  <c r="NP25" i="34"/>
  <c r="NO25" i="34"/>
  <c r="NN25" i="34"/>
  <c r="NM25" i="34"/>
  <c r="NL25" i="34"/>
  <c r="NK25" i="34"/>
  <c r="NJ25" i="34"/>
  <c r="NI25" i="34"/>
  <c r="NH25" i="34"/>
  <c r="NG25" i="34"/>
  <c r="NF25" i="34"/>
  <c r="NE25" i="34"/>
  <c r="ND25" i="34"/>
  <c r="NC25" i="34"/>
  <c r="NB25" i="34"/>
  <c r="NA25" i="34"/>
  <c r="MZ25" i="34"/>
  <c r="MY25" i="34"/>
  <c r="MX25" i="34"/>
  <c r="MW25" i="34"/>
  <c r="MV25" i="34"/>
  <c r="MU25" i="34"/>
  <c r="MT25" i="34"/>
  <c r="MS25" i="34"/>
  <c r="MR25" i="34"/>
  <c r="MQ25" i="34"/>
  <c r="MP25" i="34"/>
  <c r="MO25" i="34"/>
  <c r="MN25" i="34"/>
  <c r="MM25" i="34"/>
  <c r="ML25" i="34"/>
  <c r="MK25" i="34"/>
  <c r="MJ25" i="34"/>
  <c r="MI25" i="34"/>
  <c r="MH25" i="34"/>
  <c r="MG25" i="34"/>
  <c r="MF25" i="34"/>
  <c r="ME25" i="34"/>
  <c r="MD25" i="34"/>
  <c r="MC25" i="34"/>
  <c r="MB25" i="34"/>
  <c r="MA25" i="34"/>
  <c r="LZ25" i="34"/>
  <c r="LY25" i="34"/>
  <c r="LX25" i="34"/>
  <c r="LW25" i="34"/>
  <c r="LV25" i="34"/>
  <c r="LU25" i="34"/>
  <c r="LT25" i="34"/>
  <c r="LS25" i="34"/>
  <c r="LR25" i="34"/>
  <c r="LQ25" i="34"/>
  <c r="LP25" i="34"/>
  <c r="LO25" i="34"/>
  <c r="LN25" i="34"/>
  <c r="LM25" i="34"/>
  <c r="LL25" i="34"/>
  <c r="LK25" i="34"/>
  <c r="LJ25" i="34"/>
  <c r="LI25" i="34"/>
  <c r="LH25" i="34"/>
  <c r="LG25" i="34"/>
  <c r="LF25" i="34"/>
  <c r="LE25" i="34"/>
  <c r="LD25" i="34"/>
  <c r="LC25" i="34"/>
  <c r="LB25" i="34"/>
  <c r="LA25" i="34"/>
  <c r="KZ25" i="34"/>
  <c r="KY25" i="34"/>
  <c r="KX25" i="34"/>
  <c r="KW25" i="34"/>
  <c r="KV25" i="34"/>
  <c r="KU25" i="34"/>
  <c r="KT25" i="34"/>
  <c r="KS25" i="34"/>
  <c r="KR25" i="34"/>
  <c r="KQ25" i="34"/>
  <c r="KP25" i="34"/>
  <c r="KO25" i="34"/>
  <c r="KN25" i="34"/>
  <c r="KM25" i="34"/>
  <c r="PZ24" i="34"/>
  <c r="PY24" i="34"/>
  <c r="PX24" i="34"/>
  <c r="PW24" i="34"/>
  <c r="PV24" i="34"/>
  <c r="PU24" i="34"/>
  <c r="PT24" i="34"/>
  <c r="PS24" i="34"/>
  <c r="PR24" i="34"/>
  <c r="PQ24" i="34"/>
  <c r="PP24" i="34"/>
  <c r="PO24" i="34"/>
  <c r="PN24" i="34"/>
  <c r="PM24" i="34"/>
  <c r="PL24" i="34"/>
  <c r="PK24" i="34"/>
  <c r="PJ24" i="34"/>
  <c r="PI24" i="34"/>
  <c r="PH24" i="34"/>
  <c r="PG24" i="34"/>
  <c r="PF24" i="34"/>
  <c r="PE24" i="34"/>
  <c r="PD24" i="34"/>
  <c r="PC24" i="34"/>
  <c r="PB24" i="34"/>
  <c r="PA24" i="34"/>
  <c r="OZ24" i="34"/>
  <c r="OY24" i="34"/>
  <c r="OX24" i="34"/>
  <c r="OW24" i="34"/>
  <c r="OV24" i="34"/>
  <c r="OU24" i="34"/>
  <c r="OT24" i="34"/>
  <c r="OS24" i="34"/>
  <c r="OR24" i="34"/>
  <c r="OQ24" i="34"/>
  <c r="OP24" i="34"/>
  <c r="OO24" i="34"/>
  <c r="ON24" i="34"/>
  <c r="OM24" i="34"/>
  <c r="OL24" i="34"/>
  <c r="OK24" i="34"/>
  <c r="OJ24" i="34"/>
  <c r="OI24" i="34"/>
  <c r="OH24" i="34"/>
  <c r="OG24" i="34"/>
  <c r="OF24" i="34"/>
  <c r="OE24" i="34"/>
  <c r="OD24" i="34"/>
  <c r="OC24" i="34"/>
  <c r="OB24" i="34"/>
  <c r="OA24" i="34"/>
  <c r="NZ24" i="34"/>
  <c r="NY24" i="34"/>
  <c r="NX24" i="34"/>
  <c r="NW24" i="34"/>
  <c r="NV24" i="34"/>
  <c r="NU24" i="34"/>
  <c r="NT24" i="34"/>
  <c r="NS24" i="34"/>
  <c r="NR24" i="34"/>
  <c r="NQ24" i="34"/>
  <c r="NP24" i="34"/>
  <c r="NO24" i="34"/>
  <c r="NN24" i="34"/>
  <c r="NM24" i="34"/>
  <c r="NL24" i="34"/>
  <c r="NK24" i="34"/>
  <c r="NJ24" i="34"/>
  <c r="NI24" i="34"/>
  <c r="NH24" i="34"/>
  <c r="NG24" i="34"/>
  <c r="NF24" i="34"/>
  <c r="NE24" i="34"/>
  <c r="ND24" i="34"/>
  <c r="NC24" i="34"/>
  <c r="NB24" i="34"/>
  <c r="NA24" i="34"/>
  <c r="MZ24" i="34"/>
  <c r="MY24" i="34"/>
  <c r="MX24" i="34"/>
  <c r="MW24" i="34"/>
  <c r="MV24" i="34"/>
  <c r="MU24" i="34"/>
  <c r="MT24" i="34"/>
  <c r="MS24" i="34"/>
  <c r="MR24" i="34"/>
  <c r="MQ24" i="34"/>
  <c r="MP24" i="34"/>
  <c r="MO24" i="34"/>
  <c r="MN24" i="34"/>
  <c r="MM24" i="34"/>
  <c r="ML24" i="34"/>
  <c r="MK24" i="34"/>
  <c r="MJ24" i="34"/>
  <c r="MI24" i="34"/>
  <c r="MH24" i="34"/>
  <c r="MG24" i="34"/>
  <c r="MF24" i="34"/>
  <c r="ME24" i="34"/>
  <c r="MD24" i="34"/>
  <c r="MC24" i="34"/>
  <c r="MB24" i="34"/>
  <c r="MA24" i="34"/>
  <c r="LZ24" i="34"/>
  <c r="LY24" i="34"/>
  <c r="LX24" i="34"/>
  <c r="LW24" i="34"/>
  <c r="LV24" i="34"/>
  <c r="LU24" i="34"/>
  <c r="LT24" i="34"/>
  <c r="LS24" i="34"/>
  <c r="LR24" i="34"/>
  <c r="LQ24" i="34"/>
  <c r="LP24" i="34"/>
  <c r="LO24" i="34"/>
  <c r="LN24" i="34"/>
  <c r="LM24" i="34"/>
  <c r="LL24" i="34"/>
  <c r="LK24" i="34"/>
  <c r="LJ24" i="34"/>
  <c r="LI24" i="34"/>
  <c r="LH24" i="34"/>
  <c r="LG24" i="34"/>
  <c r="LF24" i="34"/>
  <c r="LE24" i="34"/>
  <c r="LD24" i="34"/>
  <c r="LC24" i="34"/>
  <c r="LB24" i="34"/>
  <c r="LA24" i="34"/>
  <c r="KZ24" i="34"/>
  <c r="KY24" i="34"/>
  <c r="KX24" i="34"/>
  <c r="KW24" i="34"/>
  <c r="KV24" i="34"/>
  <c r="KU24" i="34"/>
  <c r="KT24" i="34"/>
  <c r="KS24" i="34"/>
  <c r="KR24" i="34"/>
  <c r="KQ24" i="34"/>
  <c r="KP24" i="34"/>
  <c r="KO24" i="34"/>
  <c r="KN24" i="34"/>
  <c r="KM24" i="34"/>
  <c r="KG77" i="34"/>
  <c r="KF77" i="34"/>
  <c r="KE77" i="34"/>
  <c r="KD77" i="34"/>
  <c r="KC77" i="34"/>
  <c r="KB77" i="34"/>
  <c r="KA77" i="34"/>
  <c r="JZ77" i="34"/>
  <c r="JY77" i="34"/>
  <c r="JX77" i="34"/>
  <c r="JW77" i="34"/>
  <c r="JV77" i="34"/>
  <c r="JU77" i="34"/>
  <c r="JT77" i="34"/>
  <c r="JS77" i="34"/>
  <c r="JR77" i="34"/>
  <c r="JQ77" i="34"/>
  <c r="JP77" i="34"/>
  <c r="JO77" i="34"/>
  <c r="JN77" i="34"/>
  <c r="JM77" i="34"/>
  <c r="JL77" i="34"/>
  <c r="JK77" i="34"/>
  <c r="JJ77" i="34"/>
  <c r="JI77" i="34"/>
  <c r="JH77" i="34"/>
  <c r="JG77" i="34"/>
  <c r="JF77" i="34"/>
  <c r="JE77" i="34"/>
  <c r="JD77" i="34"/>
  <c r="JC77" i="34"/>
  <c r="JB77" i="34"/>
  <c r="JA77" i="34"/>
  <c r="IZ77" i="34"/>
  <c r="IY77" i="34"/>
  <c r="IX77" i="34"/>
  <c r="IW77" i="34"/>
  <c r="IV77" i="34"/>
  <c r="IU77" i="34"/>
  <c r="IT77" i="34"/>
  <c r="IS77" i="34"/>
  <c r="IR77" i="34"/>
  <c r="IQ77" i="34"/>
  <c r="IP77" i="34"/>
  <c r="IO77" i="34"/>
  <c r="IN77" i="34"/>
  <c r="IM77" i="34"/>
  <c r="IL77" i="34"/>
  <c r="IK77" i="34"/>
  <c r="IJ77" i="34"/>
  <c r="II77" i="34"/>
  <c r="IH77" i="34"/>
  <c r="IG77" i="34"/>
  <c r="IF77" i="34"/>
  <c r="IE77" i="34"/>
  <c r="ID77" i="34"/>
  <c r="IC77" i="34"/>
  <c r="IB77" i="34"/>
  <c r="IA77" i="34"/>
  <c r="HZ77" i="34"/>
  <c r="HY77" i="34"/>
  <c r="HX77" i="34"/>
  <c r="HW77" i="34"/>
  <c r="HV77" i="34"/>
  <c r="HU77" i="34"/>
  <c r="HT77" i="34"/>
  <c r="HS77" i="34"/>
  <c r="HR77" i="34"/>
  <c r="HQ77" i="34"/>
  <c r="HP77" i="34"/>
  <c r="HO77" i="34"/>
  <c r="HN77" i="34"/>
  <c r="HM77" i="34"/>
  <c r="HL77" i="34"/>
  <c r="HK77" i="34"/>
  <c r="HJ77" i="34"/>
  <c r="HI77" i="34"/>
  <c r="HH77" i="34"/>
  <c r="HG77" i="34"/>
  <c r="HF77" i="34"/>
  <c r="HE77" i="34"/>
  <c r="HD77" i="34"/>
  <c r="HC77" i="34"/>
  <c r="HB77" i="34"/>
  <c r="HA77" i="34"/>
  <c r="GZ77" i="34"/>
  <c r="GY77" i="34"/>
  <c r="GX77" i="34"/>
  <c r="GW77" i="34"/>
  <c r="GV77" i="34"/>
  <c r="GU77" i="34"/>
  <c r="GT77" i="34"/>
  <c r="GS77" i="34"/>
  <c r="GR77" i="34"/>
  <c r="GQ77" i="34"/>
  <c r="GP77" i="34"/>
  <c r="GO77" i="34"/>
  <c r="GN77" i="34"/>
  <c r="GM77" i="34"/>
  <c r="GL77" i="34"/>
  <c r="GK77" i="34"/>
  <c r="GJ77" i="34"/>
  <c r="GI77" i="34"/>
  <c r="GH77" i="34"/>
  <c r="GG77" i="34"/>
  <c r="GF77" i="34"/>
  <c r="GE77" i="34"/>
  <c r="GD77" i="34"/>
  <c r="GC77" i="34"/>
  <c r="GB77" i="34"/>
  <c r="GA77" i="34"/>
  <c r="FZ77" i="34"/>
  <c r="FY77" i="34"/>
  <c r="FX77" i="34"/>
  <c r="FW77" i="34"/>
  <c r="FV77" i="34"/>
  <c r="FU77" i="34"/>
  <c r="FT77" i="34"/>
  <c r="FS77" i="34"/>
  <c r="FR77" i="34"/>
  <c r="FQ77" i="34"/>
  <c r="FP77" i="34"/>
  <c r="FO77" i="34"/>
  <c r="FN77" i="34"/>
  <c r="FM77" i="34"/>
  <c r="FL77" i="34"/>
  <c r="FK77" i="34"/>
  <c r="FJ77" i="34"/>
  <c r="FI77" i="34"/>
  <c r="FH77" i="34"/>
  <c r="FG77" i="34"/>
  <c r="FF77" i="34"/>
  <c r="FE77" i="34"/>
  <c r="FD77" i="34"/>
  <c r="FC77" i="34"/>
  <c r="FB77" i="34"/>
  <c r="FA77" i="34"/>
  <c r="EZ77" i="34"/>
  <c r="EY77" i="34"/>
  <c r="EX77" i="34"/>
  <c r="EW77" i="34"/>
  <c r="EV77" i="34"/>
  <c r="EU77" i="34"/>
  <c r="ET77" i="34"/>
  <c r="KG76" i="34"/>
  <c r="KF76" i="34"/>
  <c r="KE76" i="34"/>
  <c r="KD76" i="34"/>
  <c r="KC76" i="34"/>
  <c r="KB76" i="34"/>
  <c r="KA76" i="34"/>
  <c r="JZ76" i="34"/>
  <c r="JY76" i="34"/>
  <c r="JX76" i="34"/>
  <c r="JW76" i="34"/>
  <c r="JV76" i="34"/>
  <c r="JU76" i="34"/>
  <c r="JT76" i="34"/>
  <c r="JS76" i="34"/>
  <c r="JR76" i="34"/>
  <c r="JQ76" i="34"/>
  <c r="JP76" i="34"/>
  <c r="JO76" i="34"/>
  <c r="JN76" i="34"/>
  <c r="JM76" i="34"/>
  <c r="JL76" i="34"/>
  <c r="JK76" i="34"/>
  <c r="JJ76" i="34"/>
  <c r="JI76" i="34"/>
  <c r="JH76" i="34"/>
  <c r="JG76" i="34"/>
  <c r="JF76" i="34"/>
  <c r="JE76" i="34"/>
  <c r="JD76" i="34"/>
  <c r="JC76" i="34"/>
  <c r="JB76" i="34"/>
  <c r="JA76" i="34"/>
  <c r="IZ76" i="34"/>
  <c r="IY76" i="34"/>
  <c r="IX76" i="34"/>
  <c r="IW76" i="34"/>
  <c r="IV76" i="34"/>
  <c r="IU76" i="34"/>
  <c r="IT76" i="34"/>
  <c r="IS76" i="34"/>
  <c r="IR76" i="34"/>
  <c r="IQ76" i="34"/>
  <c r="IP76" i="34"/>
  <c r="IO76" i="34"/>
  <c r="IN76" i="34"/>
  <c r="IM76" i="34"/>
  <c r="IL76" i="34"/>
  <c r="IK76" i="34"/>
  <c r="IJ76" i="34"/>
  <c r="II76" i="34"/>
  <c r="IH76" i="34"/>
  <c r="IG76" i="34"/>
  <c r="IF76" i="34"/>
  <c r="IE76" i="34"/>
  <c r="ID76" i="34"/>
  <c r="IC76" i="34"/>
  <c r="IB76" i="34"/>
  <c r="IA76" i="34"/>
  <c r="HZ76" i="34"/>
  <c r="HY76" i="34"/>
  <c r="HX76" i="34"/>
  <c r="HW76" i="34"/>
  <c r="HV76" i="34"/>
  <c r="HU76" i="34"/>
  <c r="HT76" i="34"/>
  <c r="HS76" i="34"/>
  <c r="HR76" i="34"/>
  <c r="HQ76" i="34"/>
  <c r="HP76" i="34"/>
  <c r="HO76" i="34"/>
  <c r="HN76" i="34"/>
  <c r="HM76" i="34"/>
  <c r="HL76" i="34"/>
  <c r="HK76" i="34"/>
  <c r="HJ76" i="34"/>
  <c r="HI76" i="34"/>
  <c r="HH76" i="34"/>
  <c r="HG76" i="34"/>
  <c r="HF76" i="34"/>
  <c r="HE76" i="34"/>
  <c r="HD76" i="34"/>
  <c r="HC76" i="34"/>
  <c r="HB76" i="34"/>
  <c r="HA76" i="34"/>
  <c r="GZ76" i="34"/>
  <c r="GY76" i="34"/>
  <c r="GX76" i="34"/>
  <c r="GW76" i="34"/>
  <c r="GV76" i="34"/>
  <c r="GU76" i="34"/>
  <c r="GT76" i="34"/>
  <c r="GS76" i="34"/>
  <c r="GR76" i="34"/>
  <c r="GQ76" i="34"/>
  <c r="GP76" i="34"/>
  <c r="GO76" i="34"/>
  <c r="GN76" i="34"/>
  <c r="GM76" i="34"/>
  <c r="GL76" i="34"/>
  <c r="GK76" i="34"/>
  <c r="GJ76" i="34"/>
  <c r="GI76" i="34"/>
  <c r="GH76" i="34"/>
  <c r="GG76" i="34"/>
  <c r="GF76" i="34"/>
  <c r="GE76" i="34"/>
  <c r="GD76" i="34"/>
  <c r="GC76" i="34"/>
  <c r="GB76" i="34"/>
  <c r="GA76" i="34"/>
  <c r="FZ76" i="34"/>
  <c r="FY76" i="34"/>
  <c r="FX76" i="34"/>
  <c r="FW76" i="34"/>
  <c r="FV76" i="34"/>
  <c r="FU76" i="34"/>
  <c r="FT76" i="34"/>
  <c r="FS76" i="34"/>
  <c r="FR76" i="34"/>
  <c r="FQ76" i="34"/>
  <c r="FP76" i="34"/>
  <c r="FO76" i="34"/>
  <c r="FN76" i="34"/>
  <c r="FM76" i="34"/>
  <c r="FL76" i="34"/>
  <c r="FK76" i="34"/>
  <c r="FJ76" i="34"/>
  <c r="FI76" i="34"/>
  <c r="FH76" i="34"/>
  <c r="FG76" i="34"/>
  <c r="FF76" i="34"/>
  <c r="FE76" i="34"/>
  <c r="FD76" i="34"/>
  <c r="FC76" i="34"/>
  <c r="FB76" i="34"/>
  <c r="FA76" i="34"/>
  <c r="EZ76" i="34"/>
  <c r="EY76" i="34"/>
  <c r="EX76" i="34"/>
  <c r="EW76" i="34"/>
  <c r="EV76" i="34"/>
  <c r="EU76" i="34"/>
  <c r="ET76" i="34"/>
  <c r="KG75" i="34"/>
  <c r="KF75" i="34"/>
  <c r="KE75" i="34"/>
  <c r="KD75" i="34"/>
  <c r="KC75" i="34"/>
  <c r="KB75" i="34"/>
  <c r="KA75" i="34"/>
  <c r="JZ75" i="34"/>
  <c r="JY75" i="34"/>
  <c r="JX75" i="34"/>
  <c r="JW75" i="34"/>
  <c r="JV75" i="34"/>
  <c r="JU75" i="34"/>
  <c r="JT75" i="34"/>
  <c r="JS75" i="34"/>
  <c r="JR75" i="34"/>
  <c r="JQ75" i="34"/>
  <c r="JP75" i="34"/>
  <c r="JO75" i="34"/>
  <c r="JN75" i="34"/>
  <c r="JM75" i="34"/>
  <c r="JL75" i="34"/>
  <c r="JK75" i="34"/>
  <c r="JJ75" i="34"/>
  <c r="JI75" i="34"/>
  <c r="JH75" i="34"/>
  <c r="JG75" i="34"/>
  <c r="JF75" i="34"/>
  <c r="JE75" i="34"/>
  <c r="JD75" i="34"/>
  <c r="JC75" i="34"/>
  <c r="JB75" i="34"/>
  <c r="JA75" i="34"/>
  <c r="IZ75" i="34"/>
  <c r="IY75" i="34"/>
  <c r="IX75" i="34"/>
  <c r="IW75" i="34"/>
  <c r="IV75" i="34"/>
  <c r="IU75" i="34"/>
  <c r="IT75" i="34"/>
  <c r="IS75" i="34"/>
  <c r="IR75" i="34"/>
  <c r="IQ75" i="34"/>
  <c r="IP75" i="34"/>
  <c r="IO75" i="34"/>
  <c r="IN75" i="34"/>
  <c r="IM75" i="34"/>
  <c r="IL75" i="34"/>
  <c r="IK75" i="34"/>
  <c r="IJ75" i="34"/>
  <c r="II75" i="34"/>
  <c r="IH75" i="34"/>
  <c r="IG75" i="34"/>
  <c r="IF75" i="34"/>
  <c r="IE75" i="34"/>
  <c r="ID75" i="34"/>
  <c r="IC75" i="34"/>
  <c r="IB75" i="34"/>
  <c r="IA75" i="34"/>
  <c r="HZ75" i="34"/>
  <c r="HY75" i="34"/>
  <c r="HX75" i="34"/>
  <c r="HW75" i="34"/>
  <c r="HV75" i="34"/>
  <c r="HU75" i="34"/>
  <c r="HT75" i="34"/>
  <c r="HS75" i="34"/>
  <c r="HR75" i="34"/>
  <c r="HQ75" i="34"/>
  <c r="HP75" i="34"/>
  <c r="HO75" i="34"/>
  <c r="HN75" i="34"/>
  <c r="HM75" i="34"/>
  <c r="HL75" i="34"/>
  <c r="HK75" i="34"/>
  <c r="HJ75" i="34"/>
  <c r="HI75" i="34"/>
  <c r="HH75" i="34"/>
  <c r="HG75" i="34"/>
  <c r="HF75" i="34"/>
  <c r="HE75" i="34"/>
  <c r="HD75" i="34"/>
  <c r="HC75" i="34"/>
  <c r="HB75" i="34"/>
  <c r="HA75" i="34"/>
  <c r="GZ75" i="34"/>
  <c r="GY75" i="34"/>
  <c r="GX75" i="34"/>
  <c r="GW75" i="34"/>
  <c r="GV75" i="34"/>
  <c r="GU75" i="34"/>
  <c r="GT75" i="34"/>
  <c r="GS75" i="34"/>
  <c r="GR75" i="34"/>
  <c r="GQ75" i="34"/>
  <c r="GP75" i="34"/>
  <c r="GO75" i="34"/>
  <c r="GN75" i="34"/>
  <c r="GM75" i="34"/>
  <c r="GL75" i="34"/>
  <c r="GK75" i="34"/>
  <c r="GJ75" i="34"/>
  <c r="GI75" i="34"/>
  <c r="GH75" i="34"/>
  <c r="GG75" i="34"/>
  <c r="GF75" i="34"/>
  <c r="GE75" i="34"/>
  <c r="GD75" i="34"/>
  <c r="GC75" i="34"/>
  <c r="GB75" i="34"/>
  <c r="GA75" i="34"/>
  <c r="FZ75" i="34"/>
  <c r="FY75" i="34"/>
  <c r="FX75" i="34"/>
  <c r="FW75" i="34"/>
  <c r="FV75" i="34"/>
  <c r="FU75" i="34"/>
  <c r="FT75" i="34"/>
  <c r="FS75" i="34"/>
  <c r="FR75" i="34"/>
  <c r="FQ75" i="34"/>
  <c r="FP75" i="34"/>
  <c r="FO75" i="34"/>
  <c r="FN75" i="34"/>
  <c r="FM75" i="34"/>
  <c r="FL75" i="34"/>
  <c r="FK75" i="34"/>
  <c r="FJ75" i="34"/>
  <c r="FI75" i="34"/>
  <c r="FH75" i="34"/>
  <c r="FG75" i="34"/>
  <c r="FF75" i="34"/>
  <c r="FE75" i="34"/>
  <c r="FD75" i="34"/>
  <c r="FC75" i="34"/>
  <c r="FB75" i="34"/>
  <c r="FA75" i="34"/>
  <c r="EZ75" i="34"/>
  <c r="EY75" i="34"/>
  <c r="EX75" i="34"/>
  <c r="EW75" i="34"/>
  <c r="EV75" i="34"/>
  <c r="EU75" i="34"/>
  <c r="ET75" i="34"/>
  <c r="KG74" i="34"/>
  <c r="KF74" i="34"/>
  <c r="KE74" i="34"/>
  <c r="KD74" i="34"/>
  <c r="KC74" i="34"/>
  <c r="KB74" i="34"/>
  <c r="KA74" i="34"/>
  <c r="JZ74" i="34"/>
  <c r="JY74" i="34"/>
  <c r="JX74" i="34"/>
  <c r="JW74" i="34"/>
  <c r="JV74" i="34"/>
  <c r="JU74" i="34"/>
  <c r="JT74" i="34"/>
  <c r="JS74" i="34"/>
  <c r="JR74" i="34"/>
  <c r="JQ74" i="34"/>
  <c r="JP74" i="34"/>
  <c r="JO74" i="34"/>
  <c r="JN74" i="34"/>
  <c r="JM74" i="34"/>
  <c r="JL74" i="34"/>
  <c r="JK74" i="34"/>
  <c r="JJ74" i="34"/>
  <c r="JI74" i="34"/>
  <c r="JH74" i="34"/>
  <c r="JG74" i="34"/>
  <c r="JF74" i="34"/>
  <c r="JE74" i="34"/>
  <c r="JD74" i="34"/>
  <c r="JC74" i="34"/>
  <c r="JB74" i="34"/>
  <c r="JA74" i="34"/>
  <c r="IZ74" i="34"/>
  <c r="IY74" i="34"/>
  <c r="IX74" i="34"/>
  <c r="IW74" i="34"/>
  <c r="IV74" i="34"/>
  <c r="IU74" i="34"/>
  <c r="IT74" i="34"/>
  <c r="IS74" i="34"/>
  <c r="IR74" i="34"/>
  <c r="IQ74" i="34"/>
  <c r="IP74" i="34"/>
  <c r="IO74" i="34"/>
  <c r="IN74" i="34"/>
  <c r="IM74" i="34"/>
  <c r="IL74" i="34"/>
  <c r="IK74" i="34"/>
  <c r="IJ74" i="34"/>
  <c r="II74" i="34"/>
  <c r="IH74" i="34"/>
  <c r="IG74" i="34"/>
  <c r="IF74" i="34"/>
  <c r="IE74" i="34"/>
  <c r="ID74" i="34"/>
  <c r="IC74" i="34"/>
  <c r="IB74" i="34"/>
  <c r="IA74" i="34"/>
  <c r="HZ74" i="34"/>
  <c r="HY74" i="34"/>
  <c r="HX74" i="34"/>
  <c r="HW74" i="34"/>
  <c r="HV74" i="34"/>
  <c r="HU74" i="34"/>
  <c r="HT74" i="34"/>
  <c r="HS74" i="34"/>
  <c r="HR74" i="34"/>
  <c r="HQ74" i="34"/>
  <c r="HP74" i="34"/>
  <c r="HO74" i="34"/>
  <c r="HN74" i="34"/>
  <c r="HM74" i="34"/>
  <c r="HL74" i="34"/>
  <c r="HK74" i="34"/>
  <c r="HJ74" i="34"/>
  <c r="HI74" i="34"/>
  <c r="HH74" i="34"/>
  <c r="HG74" i="34"/>
  <c r="HF74" i="34"/>
  <c r="HE74" i="34"/>
  <c r="HD74" i="34"/>
  <c r="HC74" i="34"/>
  <c r="HB74" i="34"/>
  <c r="HA74" i="34"/>
  <c r="GZ74" i="34"/>
  <c r="GY74" i="34"/>
  <c r="GX74" i="34"/>
  <c r="GW74" i="34"/>
  <c r="GV74" i="34"/>
  <c r="GU74" i="34"/>
  <c r="GT74" i="34"/>
  <c r="GS74" i="34"/>
  <c r="GR74" i="34"/>
  <c r="GQ74" i="34"/>
  <c r="GP74" i="34"/>
  <c r="GO74" i="34"/>
  <c r="GN74" i="34"/>
  <c r="GM74" i="34"/>
  <c r="GL74" i="34"/>
  <c r="GK74" i="34"/>
  <c r="GJ74" i="34"/>
  <c r="GI74" i="34"/>
  <c r="GH74" i="34"/>
  <c r="GG74" i="34"/>
  <c r="GF74" i="34"/>
  <c r="GE74" i="34"/>
  <c r="GD74" i="34"/>
  <c r="GC74" i="34"/>
  <c r="GB74" i="34"/>
  <c r="GA74" i="34"/>
  <c r="FZ74" i="34"/>
  <c r="FY74" i="34"/>
  <c r="FX74" i="34"/>
  <c r="FW74" i="34"/>
  <c r="FV74" i="34"/>
  <c r="FU74" i="34"/>
  <c r="FT74" i="34"/>
  <c r="FS74" i="34"/>
  <c r="FR74" i="34"/>
  <c r="FQ74" i="34"/>
  <c r="FP74" i="34"/>
  <c r="FO74" i="34"/>
  <c r="FN74" i="34"/>
  <c r="FM74" i="34"/>
  <c r="FL74" i="34"/>
  <c r="FK74" i="34"/>
  <c r="FJ74" i="34"/>
  <c r="FI74" i="34"/>
  <c r="FH74" i="34"/>
  <c r="FG74" i="34"/>
  <c r="FF74" i="34"/>
  <c r="FE74" i="34"/>
  <c r="FD74" i="34"/>
  <c r="FC74" i="34"/>
  <c r="FB74" i="34"/>
  <c r="FA74" i="34"/>
  <c r="EZ74" i="34"/>
  <c r="EY74" i="34"/>
  <c r="EX74" i="34"/>
  <c r="EW74" i="34"/>
  <c r="EV74" i="34"/>
  <c r="EU74" i="34"/>
  <c r="ET74" i="34"/>
  <c r="KG73" i="34"/>
  <c r="KF73" i="34"/>
  <c r="KE73" i="34"/>
  <c r="KD73" i="34"/>
  <c r="KC73" i="34"/>
  <c r="KB73" i="34"/>
  <c r="KA73" i="34"/>
  <c r="JZ73" i="34"/>
  <c r="JY73" i="34"/>
  <c r="JX73" i="34"/>
  <c r="JW73" i="34"/>
  <c r="JV73" i="34"/>
  <c r="JU73" i="34"/>
  <c r="JT73" i="34"/>
  <c r="JS73" i="34"/>
  <c r="JR73" i="34"/>
  <c r="JQ73" i="34"/>
  <c r="JP73" i="34"/>
  <c r="JO73" i="34"/>
  <c r="JN73" i="34"/>
  <c r="JM73" i="34"/>
  <c r="JL73" i="34"/>
  <c r="JK73" i="34"/>
  <c r="JJ73" i="34"/>
  <c r="JI73" i="34"/>
  <c r="JH73" i="34"/>
  <c r="JG73" i="34"/>
  <c r="JF73" i="34"/>
  <c r="JE73" i="34"/>
  <c r="JD73" i="34"/>
  <c r="JC73" i="34"/>
  <c r="JB73" i="34"/>
  <c r="JA73" i="34"/>
  <c r="IZ73" i="34"/>
  <c r="IY73" i="34"/>
  <c r="IX73" i="34"/>
  <c r="IW73" i="34"/>
  <c r="IV73" i="34"/>
  <c r="IU73" i="34"/>
  <c r="IT73" i="34"/>
  <c r="IS73" i="34"/>
  <c r="IR73" i="34"/>
  <c r="IQ73" i="34"/>
  <c r="IP73" i="34"/>
  <c r="IO73" i="34"/>
  <c r="IN73" i="34"/>
  <c r="IM73" i="34"/>
  <c r="IL73" i="34"/>
  <c r="IK73" i="34"/>
  <c r="IJ73" i="34"/>
  <c r="II73" i="34"/>
  <c r="IH73" i="34"/>
  <c r="IG73" i="34"/>
  <c r="IF73" i="34"/>
  <c r="IE73" i="34"/>
  <c r="ID73" i="34"/>
  <c r="IC73" i="34"/>
  <c r="IB73" i="34"/>
  <c r="IA73" i="34"/>
  <c r="HZ73" i="34"/>
  <c r="HY73" i="34"/>
  <c r="HX73" i="34"/>
  <c r="HW73" i="34"/>
  <c r="HV73" i="34"/>
  <c r="HU73" i="34"/>
  <c r="HT73" i="34"/>
  <c r="HS73" i="34"/>
  <c r="HR73" i="34"/>
  <c r="HQ73" i="34"/>
  <c r="HP73" i="34"/>
  <c r="HO73" i="34"/>
  <c r="HN73" i="34"/>
  <c r="HM73" i="34"/>
  <c r="HL73" i="34"/>
  <c r="HK73" i="34"/>
  <c r="HJ73" i="34"/>
  <c r="HI73" i="34"/>
  <c r="HH73" i="34"/>
  <c r="HG73" i="34"/>
  <c r="HF73" i="34"/>
  <c r="HE73" i="34"/>
  <c r="HD73" i="34"/>
  <c r="HC73" i="34"/>
  <c r="HB73" i="34"/>
  <c r="HA73" i="34"/>
  <c r="GZ73" i="34"/>
  <c r="GY73" i="34"/>
  <c r="GX73" i="34"/>
  <c r="GW73" i="34"/>
  <c r="GV73" i="34"/>
  <c r="GU73" i="34"/>
  <c r="GT73" i="34"/>
  <c r="GS73" i="34"/>
  <c r="GR73" i="34"/>
  <c r="GQ73" i="34"/>
  <c r="GP73" i="34"/>
  <c r="GO73" i="34"/>
  <c r="GN73" i="34"/>
  <c r="GM73" i="34"/>
  <c r="GL73" i="34"/>
  <c r="GK73" i="34"/>
  <c r="GJ73" i="34"/>
  <c r="GI73" i="34"/>
  <c r="GH73" i="34"/>
  <c r="GG73" i="34"/>
  <c r="GF73" i="34"/>
  <c r="GE73" i="34"/>
  <c r="GD73" i="34"/>
  <c r="GC73" i="34"/>
  <c r="GB73" i="34"/>
  <c r="GA73" i="34"/>
  <c r="FZ73" i="34"/>
  <c r="FY73" i="34"/>
  <c r="FX73" i="34"/>
  <c r="FW73" i="34"/>
  <c r="FV73" i="34"/>
  <c r="FU73" i="34"/>
  <c r="FT73" i="34"/>
  <c r="FS73" i="34"/>
  <c r="FR73" i="34"/>
  <c r="FQ73" i="34"/>
  <c r="FP73" i="34"/>
  <c r="FO73" i="34"/>
  <c r="FN73" i="34"/>
  <c r="FM73" i="34"/>
  <c r="FL73" i="34"/>
  <c r="FK73" i="34"/>
  <c r="FJ73" i="34"/>
  <c r="FI73" i="34"/>
  <c r="FH73" i="34"/>
  <c r="FG73" i="34"/>
  <c r="FF73" i="34"/>
  <c r="FE73" i="34"/>
  <c r="FD73" i="34"/>
  <c r="FC73" i="34"/>
  <c r="FB73" i="34"/>
  <c r="FA73" i="34"/>
  <c r="EZ73" i="34"/>
  <c r="EY73" i="34"/>
  <c r="EX73" i="34"/>
  <c r="EW73" i="34"/>
  <c r="EV73" i="34"/>
  <c r="EU73" i="34"/>
  <c r="ET73" i="34"/>
  <c r="KG72" i="34"/>
  <c r="KF72" i="34"/>
  <c r="KE72" i="34"/>
  <c r="KD72" i="34"/>
  <c r="KC72" i="34"/>
  <c r="KB72" i="34"/>
  <c r="KA72" i="34"/>
  <c r="JZ72" i="34"/>
  <c r="JY72" i="34"/>
  <c r="JX72" i="34"/>
  <c r="JW72" i="34"/>
  <c r="JV72" i="34"/>
  <c r="JU72" i="34"/>
  <c r="JT72" i="34"/>
  <c r="JS72" i="34"/>
  <c r="JR72" i="34"/>
  <c r="JQ72" i="34"/>
  <c r="JP72" i="34"/>
  <c r="JO72" i="34"/>
  <c r="JN72" i="34"/>
  <c r="JM72" i="34"/>
  <c r="JL72" i="34"/>
  <c r="JK72" i="34"/>
  <c r="JJ72" i="34"/>
  <c r="JI72" i="34"/>
  <c r="JH72" i="34"/>
  <c r="JG72" i="34"/>
  <c r="JF72" i="34"/>
  <c r="JE72" i="34"/>
  <c r="JD72" i="34"/>
  <c r="JC72" i="34"/>
  <c r="JB72" i="34"/>
  <c r="JA72" i="34"/>
  <c r="IZ72" i="34"/>
  <c r="IY72" i="34"/>
  <c r="IX72" i="34"/>
  <c r="IW72" i="34"/>
  <c r="IV72" i="34"/>
  <c r="IU72" i="34"/>
  <c r="IT72" i="34"/>
  <c r="IS72" i="34"/>
  <c r="IR72" i="34"/>
  <c r="IQ72" i="34"/>
  <c r="IP72" i="34"/>
  <c r="IO72" i="34"/>
  <c r="IN72" i="34"/>
  <c r="IM72" i="34"/>
  <c r="IL72" i="34"/>
  <c r="IK72" i="34"/>
  <c r="IJ72" i="34"/>
  <c r="II72" i="34"/>
  <c r="IH72" i="34"/>
  <c r="IG72" i="34"/>
  <c r="IF72" i="34"/>
  <c r="IE72" i="34"/>
  <c r="ID72" i="34"/>
  <c r="IC72" i="34"/>
  <c r="IB72" i="34"/>
  <c r="IA72" i="34"/>
  <c r="HZ72" i="34"/>
  <c r="HY72" i="34"/>
  <c r="HX72" i="34"/>
  <c r="HW72" i="34"/>
  <c r="HV72" i="34"/>
  <c r="HU72" i="34"/>
  <c r="HT72" i="34"/>
  <c r="HS72" i="34"/>
  <c r="HR72" i="34"/>
  <c r="HQ72" i="34"/>
  <c r="HP72" i="34"/>
  <c r="HO72" i="34"/>
  <c r="HN72" i="34"/>
  <c r="HM72" i="34"/>
  <c r="HL72" i="34"/>
  <c r="HK72" i="34"/>
  <c r="HJ72" i="34"/>
  <c r="HI72" i="34"/>
  <c r="HH72" i="34"/>
  <c r="HG72" i="34"/>
  <c r="HF72" i="34"/>
  <c r="HE72" i="34"/>
  <c r="HD72" i="34"/>
  <c r="HC72" i="34"/>
  <c r="HB72" i="34"/>
  <c r="HA72" i="34"/>
  <c r="GZ72" i="34"/>
  <c r="GY72" i="34"/>
  <c r="GX72" i="34"/>
  <c r="GW72" i="34"/>
  <c r="GV72" i="34"/>
  <c r="GU72" i="34"/>
  <c r="GT72" i="34"/>
  <c r="GS72" i="34"/>
  <c r="GR72" i="34"/>
  <c r="GQ72" i="34"/>
  <c r="GP72" i="34"/>
  <c r="GO72" i="34"/>
  <c r="GN72" i="34"/>
  <c r="GM72" i="34"/>
  <c r="GL72" i="34"/>
  <c r="GK72" i="34"/>
  <c r="GJ72" i="34"/>
  <c r="GI72" i="34"/>
  <c r="GH72" i="34"/>
  <c r="GG72" i="34"/>
  <c r="GF72" i="34"/>
  <c r="GE72" i="34"/>
  <c r="GD72" i="34"/>
  <c r="GC72" i="34"/>
  <c r="GB72" i="34"/>
  <c r="GA72" i="34"/>
  <c r="FZ72" i="34"/>
  <c r="FY72" i="34"/>
  <c r="FX72" i="34"/>
  <c r="FW72" i="34"/>
  <c r="FV72" i="34"/>
  <c r="FU72" i="34"/>
  <c r="FT72" i="34"/>
  <c r="FS72" i="34"/>
  <c r="FR72" i="34"/>
  <c r="FQ72" i="34"/>
  <c r="FP72" i="34"/>
  <c r="FO72" i="34"/>
  <c r="FN72" i="34"/>
  <c r="FM72" i="34"/>
  <c r="FL72" i="34"/>
  <c r="FK72" i="34"/>
  <c r="FJ72" i="34"/>
  <c r="FI72" i="34"/>
  <c r="FH72" i="34"/>
  <c r="FG72" i="34"/>
  <c r="FF72" i="34"/>
  <c r="FE72" i="34"/>
  <c r="FD72" i="34"/>
  <c r="FC72" i="34"/>
  <c r="FB72" i="34"/>
  <c r="FA72" i="34"/>
  <c r="EZ72" i="34"/>
  <c r="EY72" i="34"/>
  <c r="EX72" i="34"/>
  <c r="EW72" i="34"/>
  <c r="EV72" i="34"/>
  <c r="EU72" i="34"/>
  <c r="ET72" i="34"/>
  <c r="KG71" i="34"/>
  <c r="KF71" i="34"/>
  <c r="KE71" i="34"/>
  <c r="KD71" i="34"/>
  <c r="KC71" i="34"/>
  <c r="KB71" i="34"/>
  <c r="KA71" i="34"/>
  <c r="JZ71" i="34"/>
  <c r="JY71" i="34"/>
  <c r="JX71" i="34"/>
  <c r="JW71" i="34"/>
  <c r="JV71" i="34"/>
  <c r="JU71" i="34"/>
  <c r="JT71" i="34"/>
  <c r="JS71" i="34"/>
  <c r="JR71" i="34"/>
  <c r="JQ71" i="34"/>
  <c r="JP71" i="34"/>
  <c r="JO71" i="34"/>
  <c r="JN71" i="34"/>
  <c r="JM71" i="34"/>
  <c r="JL71" i="34"/>
  <c r="JK71" i="34"/>
  <c r="JJ71" i="34"/>
  <c r="JI71" i="34"/>
  <c r="JH71" i="34"/>
  <c r="JG71" i="34"/>
  <c r="JF71" i="34"/>
  <c r="JE71" i="34"/>
  <c r="JD71" i="34"/>
  <c r="JC71" i="34"/>
  <c r="JB71" i="34"/>
  <c r="JA71" i="34"/>
  <c r="IZ71" i="34"/>
  <c r="IY71" i="34"/>
  <c r="IX71" i="34"/>
  <c r="IW71" i="34"/>
  <c r="IV71" i="34"/>
  <c r="IU71" i="34"/>
  <c r="IT71" i="34"/>
  <c r="IS71" i="34"/>
  <c r="IR71" i="34"/>
  <c r="IQ71" i="34"/>
  <c r="IP71" i="34"/>
  <c r="IO71" i="34"/>
  <c r="IN71" i="34"/>
  <c r="IM71" i="34"/>
  <c r="IL71" i="34"/>
  <c r="IK71" i="34"/>
  <c r="IJ71" i="34"/>
  <c r="II71" i="34"/>
  <c r="IH71" i="34"/>
  <c r="IG71" i="34"/>
  <c r="IF71" i="34"/>
  <c r="IE71" i="34"/>
  <c r="ID71" i="34"/>
  <c r="IC71" i="34"/>
  <c r="IB71" i="34"/>
  <c r="IA71" i="34"/>
  <c r="HZ71" i="34"/>
  <c r="HY71" i="34"/>
  <c r="HX71" i="34"/>
  <c r="HW71" i="34"/>
  <c r="HV71" i="34"/>
  <c r="HU71" i="34"/>
  <c r="HT71" i="34"/>
  <c r="HS71" i="34"/>
  <c r="HR71" i="34"/>
  <c r="HQ71" i="34"/>
  <c r="HP71" i="34"/>
  <c r="HO71" i="34"/>
  <c r="HN71" i="34"/>
  <c r="HM71" i="34"/>
  <c r="HL71" i="34"/>
  <c r="HK71" i="34"/>
  <c r="HJ71" i="34"/>
  <c r="HI71" i="34"/>
  <c r="HH71" i="34"/>
  <c r="HG71" i="34"/>
  <c r="HF71" i="34"/>
  <c r="HE71" i="34"/>
  <c r="HD71" i="34"/>
  <c r="HC71" i="34"/>
  <c r="HB71" i="34"/>
  <c r="HA71" i="34"/>
  <c r="GZ71" i="34"/>
  <c r="GY71" i="34"/>
  <c r="GX71" i="34"/>
  <c r="GW71" i="34"/>
  <c r="GV71" i="34"/>
  <c r="GU71" i="34"/>
  <c r="GT71" i="34"/>
  <c r="GS71" i="34"/>
  <c r="GR71" i="34"/>
  <c r="GQ71" i="34"/>
  <c r="GP71" i="34"/>
  <c r="GO71" i="34"/>
  <c r="GN71" i="34"/>
  <c r="GM71" i="34"/>
  <c r="GL71" i="34"/>
  <c r="GK71" i="34"/>
  <c r="GJ71" i="34"/>
  <c r="GI71" i="34"/>
  <c r="GH71" i="34"/>
  <c r="GG71" i="34"/>
  <c r="GF71" i="34"/>
  <c r="GE71" i="34"/>
  <c r="GD71" i="34"/>
  <c r="GC71" i="34"/>
  <c r="GB71" i="34"/>
  <c r="GA71" i="34"/>
  <c r="FZ71" i="34"/>
  <c r="FY71" i="34"/>
  <c r="FX71" i="34"/>
  <c r="FW71" i="34"/>
  <c r="FV71" i="34"/>
  <c r="FU71" i="34"/>
  <c r="FT71" i="34"/>
  <c r="FS71" i="34"/>
  <c r="FR71" i="34"/>
  <c r="FQ71" i="34"/>
  <c r="FP71" i="34"/>
  <c r="FO71" i="34"/>
  <c r="FN71" i="34"/>
  <c r="FM71" i="34"/>
  <c r="FL71" i="34"/>
  <c r="FK71" i="34"/>
  <c r="FJ71" i="34"/>
  <c r="FI71" i="34"/>
  <c r="FH71" i="34"/>
  <c r="FG71" i="34"/>
  <c r="FF71" i="34"/>
  <c r="FE71" i="34"/>
  <c r="FD71" i="34"/>
  <c r="FC71" i="34"/>
  <c r="FB71" i="34"/>
  <c r="FA71" i="34"/>
  <c r="EZ71" i="34"/>
  <c r="EY71" i="34"/>
  <c r="EX71" i="34"/>
  <c r="EW71" i="34"/>
  <c r="EV71" i="34"/>
  <c r="EU71" i="34"/>
  <c r="ET71" i="34"/>
  <c r="KG70" i="34"/>
  <c r="KF70" i="34"/>
  <c r="KE70" i="34"/>
  <c r="KD70" i="34"/>
  <c r="KC70" i="34"/>
  <c r="KB70" i="34"/>
  <c r="KA70" i="34"/>
  <c r="JZ70" i="34"/>
  <c r="JY70" i="34"/>
  <c r="JX70" i="34"/>
  <c r="JW70" i="34"/>
  <c r="JV70" i="34"/>
  <c r="JU70" i="34"/>
  <c r="JT70" i="34"/>
  <c r="JS70" i="34"/>
  <c r="JR70" i="34"/>
  <c r="JQ70" i="34"/>
  <c r="JP70" i="34"/>
  <c r="JO70" i="34"/>
  <c r="JN70" i="34"/>
  <c r="JM70" i="34"/>
  <c r="JL70" i="34"/>
  <c r="JK70" i="34"/>
  <c r="JJ70" i="34"/>
  <c r="JI70" i="34"/>
  <c r="JH70" i="34"/>
  <c r="JG70" i="34"/>
  <c r="JF70" i="34"/>
  <c r="JE70" i="34"/>
  <c r="JD70" i="34"/>
  <c r="JC70" i="34"/>
  <c r="JB70" i="34"/>
  <c r="JA70" i="34"/>
  <c r="IZ70" i="34"/>
  <c r="IY70" i="34"/>
  <c r="IX70" i="34"/>
  <c r="IW70" i="34"/>
  <c r="IV70" i="34"/>
  <c r="IU70" i="34"/>
  <c r="IT70" i="34"/>
  <c r="IS70" i="34"/>
  <c r="IR70" i="34"/>
  <c r="IQ70" i="34"/>
  <c r="IP70" i="34"/>
  <c r="IO70" i="34"/>
  <c r="IN70" i="34"/>
  <c r="IM70" i="34"/>
  <c r="IL70" i="34"/>
  <c r="IK70" i="34"/>
  <c r="IJ70" i="34"/>
  <c r="II70" i="34"/>
  <c r="IH70" i="34"/>
  <c r="IG70" i="34"/>
  <c r="IF70" i="34"/>
  <c r="IE70" i="34"/>
  <c r="ID70" i="34"/>
  <c r="IC70" i="34"/>
  <c r="IB70" i="34"/>
  <c r="IA70" i="34"/>
  <c r="HZ70" i="34"/>
  <c r="HY70" i="34"/>
  <c r="HX70" i="34"/>
  <c r="HW70" i="34"/>
  <c r="HV70" i="34"/>
  <c r="HU70" i="34"/>
  <c r="HT70" i="34"/>
  <c r="HS70" i="34"/>
  <c r="HR70" i="34"/>
  <c r="HQ70" i="34"/>
  <c r="HP70" i="34"/>
  <c r="HO70" i="34"/>
  <c r="HN70" i="34"/>
  <c r="HM70" i="34"/>
  <c r="HL70" i="34"/>
  <c r="HK70" i="34"/>
  <c r="HJ70" i="34"/>
  <c r="HI70" i="34"/>
  <c r="HH70" i="34"/>
  <c r="HG70" i="34"/>
  <c r="HF70" i="34"/>
  <c r="HE70" i="34"/>
  <c r="HD70" i="34"/>
  <c r="HC70" i="34"/>
  <c r="HB70" i="34"/>
  <c r="HA70" i="34"/>
  <c r="GZ70" i="34"/>
  <c r="GY70" i="34"/>
  <c r="GX70" i="34"/>
  <c r="GW70" i="34"/>
  <c r="GV70" i="34"/>
  <c r="GU70" i="34"/>
  <c r="GT70" i="34"/>
  <c r="GS70" i="34"/>
  <c r="GR70" i="34"/>
  <c r="GQ70" i="34"/>
  <c r="GP70" i="34"/>
  <c r="GO70" i="34"/>
  <c r="GN70" i="34"/>
  <c r="GM70" i="34"/>
  <c r="GL70" i="34"/>
  <c r="GK70" i="34"/>
  <c r="GJ70" i="34"/>
  <c r="GI70" i="34"/>
  <c r="GH70" i="34"/>
  <c r="GG70" i="34"/>
  <c r="GF70" i="34"/>
  <c r="GE70" i="34"/>
  <c r="GD70" i="34"/>
  <c r="GC70" i="34"/>
  <c r="GB70" i="34"/>
  <c r="GA70" i="34"/>
  <c r="FZ70" i="34"/>
  <c r="FY70" i="34"/>
  <c r="FX70" i="34"/>
  <c r="FW70" i="34"/>
  <c r="FV70" i="34"/>
  <c r="FU70" i="34"/>
  <c r="FT70" i="34"/>
  <c r="FS70" i="34"/>
  <c r="FR70" i="34"/>
  <c r="FQ70" i="34"/>
  <c r="FP70" i="34"/>
  <c r="FO70" i="34"/>
  <c r="FN70" i="34"/>
  <c r="FM70" i="34"/>
  <c r="FL70" i="34"/>
  <c r="FK70" i="34"/>
  <c r="FJ70" i="34"/>
  <c r="FI70" i="34"/>
  <c r="FH70" i="34"/>
  <c r="FG70" i="34"/>
  <c r="FF70" i="34"/>
  <c r="FE70" i="34"/>
  <c r="FD70" i="34"/>
  <c r="FC70" i="34"/>
  <c r="FB70" i="34"/>
  <c r="FA70" i="34"/>
  <c r="EZ70" i="34"/>
  <c r="EY70" i="34"/>
  <c r="EX70" i="34"/>
  <c r="EW70" i="34"/>
  <c r="EV70" i="34"/>
  <c r="EU70" i="34"/>
  <c r="ET70" i="34"/>
  <c r="KG69" i="34"/>
  <c r="KF69" i="34"/>
  <c r="KE69" i="34"/>
  <c r="KD69" i="34"/>
  <c r="KC69" i="34"/>
  <c r="KB69" i="34"/>
  <c r="KA69" i="34"/>
  <c r="JZ69" i="34"/>
  <c r="JY69" i="34"/>
  <c r="JX69" i="34"/>
  <c r="JW69" i="34"/>
  <c r="JV69" i="34"/>
  <c r="JU69" i="34"/>
  <c r="JT69" i="34"/>
  <c r="JS69" i="34"/>
  <c r="JR69" i="34"/>
  <c r="JQ69" i="34"/>
  <c r="JP69" i="34"/>
  <c r="JO69" i="34"/>
  <c r="JN69" i="34"/>
  <c r="JM69" i="34"/>
  <c r="JL69" i="34"/>
  <c r="JK69" i="34"/>
  <c r="JJ69" i="34"/>
  <c r="JI69" i="34"/>
  <c r="JH69" i="34"/>
  <c r="JG69" i="34"/>
  <c r="JF69" i="34"/>
  <c r="JE69" i="34"/>
  <c r="JD69" i="34"/>
  <c r="JC69" i="34"/>
  <c r="JB69" i="34"/>
  <c r="JA69" i="34"/>
  <c r="IZ69" i="34"/>
  <c r="IY69" i="34"/>
  <c r="IX69" i="34"/>
  <c r="IW69" i="34"/>
  <c r="IV69" i="34"/>
  <c r="IU69" i="34"/>
  <c r="IT69" i="34"/>
  <c r="IS69" i="34"/>
  <c r="IR69" i="34"/>
  <c r="IQ69" i="34"/>
  <c r="IP69" i="34"/>
  <c r="IO69" i="34"/>
  <c r="IN69" i="34"/>
  <c r="IM69" i="34"/>
  <c r="IL69" i="34"/>
  <c r="IK69" i="34"/>
  <c r="IJ69" i="34"/>
  <c r="II69" i="34"/>
  <c r="IH69" i="34"/>
  <c r="IG69" i="34"/>
  <c r="IF69" i="34"/>
  <c r="IE69" i="34"/>
  <c r="ID69" i="34"/>
  <c r="IC69" i="34"/>
  <c r="IB69" i="34"/>
  <c r="IA69" i="34"/>
  <c r="HZ69" i="34"/>
  <c r="HY69" i="34"/>
  <c r="HX69" i="34"/>
  <c r="HW69" i="34"/>
  <c r="HV69" i="34"/>
  <c r="HU69" i="34"/>
  <c r="HT69" i="34"/>
  <c r="HS69" i="34"/>
  <c r="HR69" i="34"/>
  <c r="HQ69" i="34"/>
  <c r="HP69" i="34"/>
  <c r="HO69" i="34"/>
  <c r="HN69" i="34"/>
  <c r="HM69" i="34"/>
  <c r="HL69" i="34"/>
  <c r="HK69" i="34"/>
  <c r="HJ69" i="34"/>
  <c r="HI69" i="34"/>
  <c r="HH69" i="34"/>
  <c r="HG69" i="34"/>
  <c r="HF69" i="34"/>
  <c r="HE69" i="34"/>
  <c r="HD69" i="34"/>
  <c r="HC69" i="34"/>
  <c r="HB69" i="34"/>
  <c r="HA69" i="34"/>
  <c r="GZ69" i="34"/>
  <c r="GY69" i="34"/>
  <c r="GX69" i="34"/>
  <c r="GW69" i="34"/>
  <c r="GV69" i="34"/>
  <c r="GU69" i="34"/>
  <c r="GT69" i="34"/>
  <c r="GS69" i="34"/>
  <c r="GR69" i="34"/>
  <c r="GQ69" i="34"/>
  <c r="GP69" i="34"/>
  <c r="GO69" i="34"/>
  <c r="GN69" i="34"/>
  <c r="GM69" i="34"/>
  <c r="GL69" i="34"/>
  <c r="GK69" i="34"/>
  <c r="GJ69" i="34"/>
  <c r="GI69" i="34"/>
  <c r="GH69" i="34"/>
  <c r="GG69" i="34"/>
  <c r="GF69" i="34"/>
  <c r="GE69" i="34"/>
  <c r="GD69" i="34"/>
  <c r="GC69" i="34"/>
  <c r="GB69" i="34"/>
  <c r="GA69" i="34"/>
  <c r="FZ69" i="34"/>
  <c r="FY69" i="34"/>
  <c r="FX69" i="34"/>
  <c r="FW69" i="34"/>
  <c r="FV69" i="34"/>
  <c r="FU69" i="34"/>
  <c r="FT69" i="34"/>
  <c r="FS69" i="34"/>
  <c r="FR69" i="34"/>
  <c r="FQ69" i="34"/>
  <c r="FP69" i="34"/>
  <c r="FO69" i="34"/>
  <c r="FN69" i="34"/>
  <c r="FM69" i="34"/>
  <c r="FL69" i="34"/>
  <c r="FK69" i="34"/>
  <c r="FJ69" i="34"/>
  <c r="FI69" i="34"/>
  <c r="FH69" i="34"/>
  <c r="FG69" i="34"/>
  <c r="FF69" i="34"/>
  <c r="FE69" i="34"/>
  <c r="FD69" i="34"/>
  <c r="FC69" i="34"/>
  <c r="FB69" i="34"/>
  <c r="FA69" i="34"/>
  <c r="EZ69" i="34"/>
  <c r="EY69" i="34"/>
  <c r="EX69" i="34"/>
  <c r="EW69" i="34"/>
  <c r="EV69" i="34"/>
  <c r="EU69" i="34"/>
  <c r="ET69" i="34"/>
  <c r="KG68" i="34"/>
  <c r="KF68" i="34"/>
  <c r="KE68" i="34"/>
  <c r="KD68" i="34"/>
  <c r="KC68" i="34"/>
  <c r="KB68" i="34"/>
  <c r="KA68" i="34"/>
  <c r="JZ68" i="34"/>
  <c r="JY68" i="34"/>
  <c r="JX68" i="34"/>
  <c r="JW68" i="34"/>
  <c r="JV68" i="34"/>
  <c r="JU68" i="34"/>
  <c r="JT68" i="34"/>
  <c r="JS68" i="34"/>
  <c r="JR68" i="34"/>
  <c r="JQ68" i="34"/>
  <c r="JP68" i="34"/>
  <c r="JO68" i="34"/>
  <c r="JN68" i="34"/>
  <c r="JM68" i="34"/>
  <c r="JL68" i="34"/>
  <c r="JK68" i="34"/>
  <c r="JJ68" i="34"/>
  <c r="JI68" i="34"/>
  <c r="JH68" i="34"/>
  <c r="JG68" i="34"/>
  <c r="JF68" i="34"/>
  <c r="JE68" i="34"/>
  <c r="JD68" i="34"/>
  <c r="JC68" i="34"/>
  <c r="JB68" i="34"/>
  <c r="JA68" i="34"/>
  <c r="IZ68" i="34"/>
  <c r="IY68" i="34"/>
  <c r="IX68" i="34"/>
  <c r="IW68" i="34"/>
  <c r="IV68" i="34"/>
  <c r="IU68" i="34"/>
  <c r="IT68" i="34"/>
  <c r="IS68" i="34"/>
  <c r="IR68" i="34"/>
  <c r="IQ68" i="34"/>
  <c r="IP68" i="34"/>
  <c r="IO68" i="34"/>
  <c r="IN68" i="34"/>
  <c r="IM68" i="34"/>
  <c r="IL68" i="34"/>
  <c r="IK68" i="34"/>
  <c r="IJ68" i="34"/>
  <c r="II68" i="34"/>
  <c r="IH68" i="34"/>
  <c r="IG68" i="34"/>
  <c r="IF68" i="34"/>
  <c r="IE68" i="34"/>
  <c r="ID68" i="34"/>
  <c r="IC68" i="34"/>
  <c r="IB68" i="34"/>
  <c r="IA68" i="34"/>
  <c r="HZ68" i="34"/>
  <c r="HY68" i="34"/>
  <c r="HX68" i="34"/>
  <c r="HW68" i="34"/>
  <c r="HV68" i="34"/>
  <c r="HU68" i="34"/>
  <c r="HT68" i="34"/>
  <c r="HS68" i="34"/>
  <c r="HR68" i="34"/>
  <c r="HQ68" i="34"/>
  <c r="HP68" i="34"/>
  <c r="HO68" i="34"/>
  <c r="HN68" i="34"/>
  <c r="HM68" i="34"/>
  <c r="HL68" i="34"/>
  <c r="HK68" i="34"/>
  <c r="HJ68" i="34"/>
  <c r="HI68" i="34"/>
  <c r="HH68" i="34"/>
  <c r="HG68" i="34"/>
  <c r="HF68" i="34"/>
  <c r="HE68" i="34"/>
  <c r="HD68" i="34"/>
  <c r="HC68" i="34"/>
  <c r="HB68" i="34"/>
  <c r="HA68" i="34"/>
  <c r="GZ68" i="34"/>
  <c r="GY68" i="34"/>
  <c r="GX68" i="34"/>
  <c r="GW68" i="34"/>
  <c r="GV68" i="34"/>
  <c r="GU68" i="34"/>
  <c r="GT68" i="34"/>
  <c r="GS68" i="34"/>
  <c r="GR68" i="34"/>
  <c r="GQ68" i="34"/>
  <c r="GP68" i="34"/>
  <c r="GO68" i="34"/>
  <c r="GN68" i="34"/>
  <c r="GM68" i="34"/>
  <c r="GL68" i="34"/>
  <c r="GK68" i="34"/>
  <c r="GJ68" i="34"/>
  <c r="GI68" i="34"/>
  <c r="GH68" i="34"/>
  <c r="GG68" i="34"/>
  <c r="GF68" i="34"/>
  <c r="GE68" i="34"/>
  <c r="GD68" i="34"/>
  <c r="GC68" i="34"/>
  <c r="GB68" i="34"/>
  <c r="GA68" i="34"/>
  <c r="FZ68" i="34"/>
  <c r="FY68" i="34"/>
  <c r="FX68" i="34"/>
  <c r="FW68" i="34"/>
  <c r="FV68" i="34"/>
  <c r="FU68" i="34"/>
  <c r="FT68" i="34"/>
  <c r="FS68" i="34"/>
  <c r="FR68" i="34"/>
  <c r="FQ68" i="34"/>
  <c r="FP68" i="34"/>
  <c r="FO68" i="34"/>
  <c r="FN68" i="34"/>
  <c r="FM68" i="34"/>
  <c r="FL68" i="34"/>
  <c r="FK68" i="34"/>
  <c r="FJ68" i="34"/>
  <c r="FI68" i="34"/>
  <c r="FH68" i="34"/>
  <c r="FG68" i="34"/>
  <c r="FF68" i="34"/>
  <c r="FE68" i="34"/>
  <c r="FD68" i="34"/>
  <c r="FC68" i="34"/>
  <c r="FB68" i="34"/>
  <c r="FA68" i="34"/>
  <c r="EZ68" i="34"/>
  <c r="EY68" i="34"/>
  <c r="EX68" i="34"/>
  <c r="EW68" i="34"/>
  <c r="EV68" i="34"/>
  <c r="EU68" i="34"/>
  <c r="ET68" i="34"/>
  <c r="KG67" i="34"/>
  <c r="KF67" i="34"/>
  <c r="KE67" i="34"/>
  <c r="KD67" i="34"/>
  <c r="KC67" i="34"/>
  <c r="KB67" i="34"/>
  <c r="KA67" i="34"/>
  <c r="JZ67" i="34"/>
  <c r="JY67" i="34"/>
  <c r="JX67" i="34"/>
  <c r="JW67" i="34"/>
  <c r="JV67" i="34"/>
  <c r="JU67" i="34"/>
  <c r="JT67" i="34"/>
  <c r="JS67" i="34"/>
  <c r="JR67" i="34"/>
  <c r="JQ67" i="34"/>
  <c r="JP67" i="34"/>
  <c r="JO67" i="34"/>
  <c r="JN67" i="34"/>
  <c r="JM67" i="34"/>
  <c r="JL67" i="34"/>
  <c r="JK67" i="34"/>
  <c r="JJ67" i="34"/>
  <c r="JI67" i="34"/>
  <c r="JH67" i="34"/>
  <c r="JG67" i="34"/>
  <c r="JF67" i="34"/>
  <c r="JE67" i="34"/>
  <c r="JD67" i="34"/>
  <c r="JC67" i="34"/>
  <c r="JB67" i="34"/>
  <c r="JA67" i="34"/>
  <c r="IZ67" i="34"/>
  <c r="IY67" i="34"/>
  <c r="IX67" i="34"/>
  <c r="IW67" i="34"/>
  <c r="IV67" i="34"/>
  <c r="IU67" i="34"/>
  <c r="IT67" i="34"/>
  <c r="IS67" i="34"/>
  <c r="IR67" i="34"/>
  <c r="IQ67" i="34"/>
  <c r="IP67" i="34"/>
  <c r="IO67" i="34"/>
  <c r="IN67" i="34"/>
  <c r="IM67" i="34"/>
  <c r="IL67" i="34"/>
  <c r="IK67" i="34"/>
  <c r="IJ67" i="34"/>
  <c r="II67" i="34"/>
  <c r="IH67" i="34"/>
  <c r="IG67" i="34"/>
  <c r="IF67" i="34"/>
  <c r="IE67" i="34"/>
  <c r="ID67" i="34"/>
  <c r="IC67" i="34"/>
  <c r="IB67" i="34"/>
  <c r="IA67" i="34"/>
  <c r="HZ67" i="34"/>
  <c r="HY67" i="34"/>
  <c r="HX67" i="34"/>
  <c r="HW67" i="34"/>
  <c r="HV67" i="34"/>
  <c r="HU67" i="34"/>
  <c r="HT67" i="34"/>
  <c r="HS67" i="34"/>
  <c r="HR67" i="34"/>
  <c r="HQ67" i="34"/>
  <c r="HP67" i="34"/>
  <c r="HO67" i="34"/>
  <c r="HN67" i="34"/>
  <c r="HM67" i="34"/>
  <c r="HL67" i="34"/>
  <c r="HK67" i="34"/>
  <c r="HJ67" i="34"/>
  <c r="HI67" i="34"/>
  <c r="HH67" i="34"/>
  <c r="HG67" i="34"/>
  <c r="HF67" i="34"/>
  <c r="HE67" i="34"/>
  <c r="HD67" i="34"/>
  <c r="HC67" i="34"/>
  <c r="HB67" i="34"/>
  <c r="HA67" i="34"/>
  <c r="GZ67" i="34"/>
  <c r="GY67" i="34"/>
  <c r="GX67" i="34"/>
  <c r="GW67" i="34"/>
  <c r="GV67" i="34"/>
  <c r="GU67" i="34"/>
  <c r="GT67" i="34"/>
  <c r="GS67" i="34"/>
  <c r="GR67" i="34"/>
  <c r="GQ67" i="34"/>
  <c r="GP67" i="34"/>
  <c r="GO67" i="34"/>
  <c r="GN67" i="34"/>
  <c r="GM67" i="34"/>
  <c r="GL67" i="34"/>
  <c r="GK67" i="34"/>
  <c r="GJ67" i="34"/>
  <c r="GI67" i="34"/>
  <c r="GH67" i="34"/>
  <c r="GG67" i="34"/>
  <c r="GF67" i="34"/>
  <c r="GE67" i="34"/>
  <c r="GD67" i="34"/>
  <c r="GC67" i="34"/>
  <c r="GB67" i="34"/>
  <c r="GA67" i="34"/>
  <c r="FZ67" i="34"/>
  <c r="FY67" i="34"/>
  <c r="FX67" i="34"/>
  <c r="FW67" i="34"/>
  <c r="FV67" i="34"/>
  <c r="FU67" i="34"/>
  <c r="FT67" i="34"/>
  <c r="FS67" i="34"/>
  <c r="FR67" i="34"/>
  <c r="FQ67" i="34"/>
  <c r="FP67" i="34"/>
  <c r="FO67" i="34"/>
  <c r="FN67" i="34"/>
  <c r="FM67" i="34"/>
  <c r="FL67" i="34"/>
  <c r="FK67" i="34"/>
  <c r="FJ67" i="34"/>
  <c r="FI67" i="34"/>
  <c r="FH67" i="34"/>
  <c r="FG67" i="34"/>
  <c r="FF67" i="34"/>
  <c r="FE67" i="34"/>
  <c r="FD67" i="34"/>
  <c r="FC67" i="34"/>
  <c r="FB67" i="34"/>
  <c r="FA67" i="34"/>
  <c r="EZ67" i="34"/>
  <c r="EY67" i="34"/>
  <c r="EX67" i="34"/>
  <c r="EW67" i="34"/>
  <c r="EV67" i="34"/>
  <c r="EU67" i="34"/>
  <c r="ET67" i="34"/>
  <c r="KG66" i="34"/>
  <c r="KF66" i="34"/>
  <c r="KE66" i="34"/>
  <c r="KD66" i="34"/>
  <c r="KC66" i="34"/>
  <c r="KB66" i="34"/>
  <c r="KA66" i="34"/>
  <c r="JZ66" i="34"/>
  <c r="JY66" i="34"/>
  <c r="JX66" i="34"/>
  <c r="JW66" i="34"/>
  <c r="JV66" i="34"/>
  <c r="JU66" i="34"/>
  <c r="JT66" i="34"/>
  <c r="JS66" i="34"/>
  <c r="JR66" i="34"/>
  <c r="JQ66" i="34"/>
  <c r="JP66" i="34"/>
  <c r="JO66" i="34"/>
  <c r="JN66" i="34"/>
  <c r="JM66" i="34"/>
  <c r="JL66" i="34"/>
  <c r="JK66" i="34"/>
  <c r="JJ66" i="34"/>
  <c r="JI66" i="34"/>
  <c r="JH66" i="34"/>
  <c r="JG66" i="34"/>
  <c r="JF66" i="34"/>
  <c r="JE66" i="34"/>
  <c r="JD66" i="34"/>
  <c r="JC66" i="34"/>
  <c r="JB66" i="34"/>
  <c r="JA66" i="34"/>
  <c r="IZ66" i="34"/>
  <c r="IY66" i="34"/>
  <c r="IX66" i="34"/>
  <c r="IW66" i="34"/>
  <c r="IV66" i="34"/>
  <c r="IU66" i="34"/>
  <c r="IT66" i="34"/>
  <c r="IS66" i="34"/>
  <c r="IR66" i="34"/>
  <c r="IQ66" i="34"/>
  <c r="IP66" i="34"/>
  <c r="IO66" i="34"/>
  <c r="IN66" i="34"/>
  <c r="IM66" i="34"/>
  <c r="IL66" i="34"/>
  <c r="IK66" i="34"/>
  <c r="IJ66" i="34"/>
  <c r="II66" i="34"/>
  <c r="IH66" i="34"/>
  <c r="IG66" i="34"/>
  <c r="IF66" i="34"/>
  <c r="IE66" i="34"/>
  <c r="ID66" i="34"/>
  <c r="IC66" i="34"/>
  <c r="IB66" i="34"/>
  <c r="IA66" i="34"/>
  <c r="HZ66" i="34"/>
  <c r="HY66" i="34"/>
  <c r="HX66" i="34"/>
  <c r="HW66" i="34"/>
  <c r="HV66" i="34"/>
  <c r="HU66" i="34"/>
  <c r="HT66" i="34"/>
  <c r="HS66" i="34"/>
  <c r="HR66" i="34"/>
  <c r="HQ66" i="34"/>
  <c r="HP66" i="34"/>
  <c r="HO66" i="34"/>
  <c r="HN66" i="34"/>
  <c r="HM66" i="34"/>
  <c r="HL66" i="34"/>
  <c r="HK66" i="34"/>
  <c r="HJ66" i="34"/>
  <c r="HI66" i="34"/>
  <c r="HH66" i="34"/>
  <c r="HG66" i="34"/>
  <c r="HF66" i="34"/>
  <c r="HE66" i="34"/>
  <c r="HD66" i="34"/>
  <c r="HC66" i="34"/>
  <c r="HB66" i="34"/>
  <c r="HA66" i="34"/>
  <c r="GZ66" i="34"/>
  <c r="GY66" i="34"/>
  <c r="GX66" i="34"/>
  <c r="GW66" i="34"/>
  <c r="GV66" i="34"/>
  <c r="GU66" i="34"/>
  <c r="GT66" i="34"/>
  <c r="GS66" i="34"/>
  <c r="GR66" i="34"/>
  <c r="GQ66" i="34"/>
  <c r="GP66" i="34"/>
  <c r="GO66" i="34"/>
  <c r="GN66" i="34"/>
  <c r="GM66" i="34"/>
  <c r="GL66" i="34"/>
  <c r="GK66" i="34"/>
  <c r="GJ66" i="34"/>
  <c r="GI66" i="34"/>
  <c r="GH66" i="34"/>
  <c r="GG66" i="34"/>
  <c r="GF66" i="34"/>
  <c r="GE66" i="34"/>
  <c r="GD66" i="34"/>
  <c r="GC66" i="34"/>
  <c r="GB66" i="34"/>
  <c r="GA66" i="34"/>
  <c r="FZ66" i="34"/>
  <c r="FY66" i="34"/>
  <c r="FX66" i="34"/>
  <c r="FW66" i="34"/>
  <c r="FV66" i="34"/>
  <c r="FU66" i="34"/>
  <c r="FT66" i="34"/>
  <c r="FS66" i="34"/>
  <c r="FR66" i="34"/>
  <c r="FQ66" i="34"/>
  <c r="FP66" i="34"/>
  <c r="FO66" i="34"/>
  <c r="FN66" i="34"/>
  <c r="FM66" i="34"/>
  <c r="FL66" i="34"/>
  <c r="FK66" i="34"/>
  <c r="FJ66" i="34"/>
  <c r="FI66" i="34"/>
  <c r="FH66" i="34"/>
  <c r="FG66" i="34"/>
  <c r="FF66" i="34"/>
  <c r="FE66" i="34"/>
  <c r="FD66" i="34"/>
  <c r="FC66" i="34"/>
  <c r="FB66" i="34"/>
  <c r="FA66" i="34"/>
  <c r="EZ66" i="34"/>
  <c r="EY66" i="34"/>
  <c r="EX66" i="34"/>
  <c r="EW66" i="34"/>
  <c r="EV66" i="34"/>
  <c r="EU66" i="34"/>
  <c r="ET66" i="34"/>
  <c r="KG65" i="34"/>
  <c r="KF65" i="34"/>
  <c r="KE65" i="34"/>
  <c r="KD65" i="34"/>
  <c r="KC65" i="34"/>
  <c r="KB65" i="34"/>
  <c r="KA65" i="34"/>
  <c r="JZ65" i="34"/>
  <c r="JY65" i="34"/>
  <c r="JX65" i="34"/>
  <c r="JW65" i="34"/>
  <c r="JV65" i="34"/>
  <c r="JU65" i="34"/>
  <c r="JT65" i="34"/>
  <c r="JS65" i="34"/>
  <c r="JR65" i="34"/>
  <c r="JQ65" i="34"/>
  <c r="JP65" i="34"/>
  <c r="JO65" i="34"/>
  <c r="JN65" i="34"/>
  <c r="JM65" i="34"/>
  <c r="JL65" i="34"/>
  <c r="JK65" i="34"/>
  <c r="JJ65" i="34"/>
  <c r="JI65" i="34"/>
  <c r="JH65" i="34"/>
  <c r="JG65" i="34"/>
  <c r="JF65" i="34"/>
  <c r="JE65" i="34"/>
  <c r="JD65" i="34"/>
  <c r="JC65" i="34"/>
  <c r="JB65" i="34"/>
  <c r="JA65" i="34"/>
  <c r="IZ65" i="34"/>
  <c r="IY65" i="34"/>
  <c r="IX65" i="34"/>
  <c r="IW65" i="34"/>
  <c r="IV65" i="34"/>
  <c r="IU65" i="34"/>
  <c r="IT65" i="34"/>
  <c r="IS65" i="34"/>
  <c r="IR65" i="34"/>
  <c r="IQ65" i="34"/>
  <c r="IP65" i="34"/>
  <c r="IO65" i="34"/>
  <c r="IN65" i="34"/>
  <c r="IM65" i="34"/>
  <c r="IL65" i="34"/>
  <c r="IK65" i="34"/>
  <c r="IJ65" i="34"/>
  <c r="II65" i="34"/>
  <c r="IH65" i="34"/>
  <c r="IG65" i="34"/>
  <c r="IF65" i="34"/>
  <c r="IE65" i="34"/>
  <c r="ID65" i="34"/>
  <c r="IC65" i="34"/>
  <c r="IB65" i="34"/>
  <c r="IA65" i="34"/>
  <c r="HZ65" i="34"/>
  <c r="HY65" i="34"/>
  <c r="HX65" i="34"/>
  <c r="HW65" i="34"/>
  <c r="HV65" i="34"/>
  <c r="HU65" i="34"/>
  <c r="HT65" i="34"/>
  <c r="HS65" i="34"/>
  <c r="HR65" i="34"/>
  <c r="HQ65" i="34"/>
  <c r="HP65" i="34"/>
  <c r="HO65" i="34"/>
  <c r="HN65" i="34"/>
  <c r="HM65" i="34"/>
  <c r="HL65" i="34"/>
  <c r="HK65" i="34"/>
  <c r="HJ65" i="34"/>
  <c r="HI65" i="34"/>
  <c r="HH65" i="34"/>
  <c r="HG65" i="34"/>
  <c r="HF65" i="34"/>
  <c r="HE65" i="34"/>
  <c r="HD65" i="34"/>
  <c r="HC65" i="34"/>
  <c r="HB65" i="34"/>
  <c r="HA65" i="34"/>
  <c r="GZ65" i="34"/>
  <c r="GY65" i="34"/>
  <c r="GX65" i="34"/>
  <c r="GW65" i="34"/>
  <c r="GV65" i="34"/>
  <c r="GU65" i="34"/>
  <c r="GT65" i="34"/>
  <c r="GS65" i="34"/>
  <c r="GR65" i="34"/>
  <c r="GQ65" i="34"/>
  <c r="GP65" i="34"/>
  <c r="GO65" i="34"/>
  <c r="GN65" i="34"/>
  <c r="GM65" i="34"/>
  <c r="GL65" i="34"/>
  <c r="GK65" i="34"/>
  <c r="GJ65" i="34"/>
  <c r="GI65" i="34"/>
  <c r="GH65" i="34"/>
  <c r="GG65" i="34"/>
  <c r="GF65" i="34"/>
  <c r="GE65" i="34"/>
  <c r="GD65" i="34"/>
  <c r="GC65" i="34"/>
  <c r="GB65" i="34"/>
  <c r="GA65" i="34"/>
  <c r="FZ65" i="34"/>
  <c r="FY65" i="34"/>
  <c r="FX65" i="34"/>
  <c r="FW65" i="34"/>
  <c r="FV65" i="34"/>
  <c r="FU65" i="34"/>
  <c r="FT65" i="34"/>
  <c r="FS65" i="34"/>
  <c r="FR65" i="34"/>
  <c r="FQ65" i="34"/>
  <c r="FP65" i="34"/>
  <c r="FO65" i="34"/>
  <c r="FN65" i="34"/>
  <c r="FM65" i="34"/>
  <c r="FL65" i="34"/>
  <c r="FK65" i="34"/>
  <c r="FJ65" i="34"/>
  <c r="FI65" i="34"/>
  <c r="FH65" i="34"/>
  <c r="FG65" i="34"/>
  <c r="FF65" i="34"/>
  <c r="FE65" i="34"/>
  <c r="FD65" i="34"/>
  <c r="FC65" i="34"/>
  <c r="FB65" i="34"/>
  <c r="FA65" i="34"/>
  <c r="EZ65" i="34"/>
  <c r="EY65" i="34"/>
  <c r="EX65" i="34"/>
  <c r="EW65" i="34"/>
  <c r="EV65" i="34"/>
  <c r="EU65" i="34"/>
  <c r="ET65" i="34"/>
  <c r="KG64" i="34"/>
  <c r="KF64" i="34"/>
  <c r="KE64" i="34"/>
  <c r="KD64" i="34"/>
  <c r="KC64" i="34"/>
  <c r="KB64" i="34"/>
  <c r="KA64" i="34"/>
  <c r="JZ64" i="34"/>
  <c r="JY64" i="34"/>
  <c r="JX64" i="34"/>
  <c r="JW64" i="34"/>
  <c r="JV64" i="34"/>
  <c r="JU64" i="34"/>
  <c r="JT64" i="34"/>
  <c r="JS64" i="34"/>
  <c r="JR64" i="34"/>
  <c r="JQ64" i="34"/>
  <c r="JP64" i="34"/>
  <c r="JO64" i="34"/>
  <c r="JN64" i="34"/>
  <c r="JM64" i="34"/>
  <c r="JL64" i="34"/>
  <c r="JK64" i="34"/>
  <c r="JJ64" i="34"/>
  <c r="JI64" i="34"/>
  <c r="JH64" i="34"/>
  <c r="JG64" i="34"/>
  <c r="JF64" i="34"/>
  <c r="JE64" i="34"/>
  <c r="JD64" i="34"/>
  <c r="JC64" i="34"/>
  <c r="JB64" i="34"/>
  <c r="JA64" i="34"/>
  <c r="IZ64" i="34"/>
  <c r="IY64" i="34"/>
  <c r="IX64" i="34"/>
  <c r="IW64" i="34"/>
  <c r="IV64" i="34"/>
  <c r="IU64" i="34"/>
  <c r="IT64" i="34"/>
  <c r="IS64" i="34"/>
  <c r="IR64" i="34"/>
  <c r="IQ64" i="34"/>
  <c r="IP64" i="34"/>
  <c r="IO64" i="34"/>
  <c r="IN64" i="34"/>
  <c r="IM64" i="34"/>
  <c r="IL64" i="34"/>
  <c r="IK64" i="34"/>
  <c r="IJ64" i="34"/>
  <c r="II64" i="34"/>
  <c r="IH64" i="34"/>
  <c r="IG64" i="34"/>
  <c r="IF64" i="34"/>
  <c r="IE64" i="34"/>
  <c r="ID64" i="34"/>
  <c r="IC64" i="34"/>
  <c r="IB64" i="34"/>
  <c r="IA64" i="34"/>
  <c r="HZ64" i="34"/>
  <c r="HY64" i="34"/>
  <c r="HX64" i="34"/>
  <c r="HW64" i="34"/>
  <c r="HV64" i="34"/>
  <c r="HU64" i="34"/>
  <c r="HT64" i="34"/>
  <c r="HS64" i="34"/>
  <c r="HR64" i="34"/>
  <c r="HQ64" i="34"/>
  <c r="HP64" i="34"/>
  <c r="HO64" i="34"/>
  <c r="HN64" i="34"/>
  <c r="HM64" i="34"/>
  <c r="HL64" i="34"/>
  <c r="HK64" i="34"/>
  <c r="HJ64" i="34"/>
  <c r="HI64" i="34"/>
  <c r="HH64" i="34"/>
  <c r="HG64" i="34"/>
  <c r="HF64" i="34"/>
  <c r="HE64" i="34"/>
  <c r="HD64" i="34"/>
  <c r="HC64" i="34"/>
  <c r="HB64" i="34"/>
  <c r="HA64" i="34"/>
  <c r="GZ64" i="34"/>
  <c r="GY64" i="34"/>
  <c r="GX64" i="34"/>
  <c r="GW64" i="34"/>
  <c r="GV64" i="34"/>
  <c r="GU64" i="34"/>
  <c r="GT64" i="34"/>
  <c r="GS64" i="34"/>
  <c r="GR64" i="34"/>
  <c r="GQ64" i="34"/>
  <c r="GP64" i="34"/>
  <c r="GO64" i="34"/>
  <c r="GN64" i="34"/>
  <c r="GM64" i="34"/>
  <c r="GL64" i="34"/>
  <c r="GK64" i="34"/>
  <c r="GJ64" i="34"/>
  <c r="GI64" i="34"/>
  <c r="GH64" i="34"/>
  <c r="GG64" i="34"/>
  <c r="GF64" i="34"/>
  <c r="GE64" i="34"/>
  <c r="GD64" i="34"/>
  <c r="GC64" i="34"/>
  <c r="GB64" i="34"/>
  <c r="GA64" i="34"/>
  <c r="FZ64" i="34"/>
  <c r="FY64" i="34"/>
  <c r="FX64" i="34"/>
  <c r="FW64" i="34"/>
  <c r="FV64" i="34"/>
  <c r="FU64" i="34"/>
  <c r="FT64" i="34"/>
  <c r="FS64" i="34"/>
  <c r="FR64" i="34"/>
  <c r="FQ64" i="34"/>
  <c r="FP64" i="34"/>
  <c r="FO64" i="34"/>
  <c r="FN64" i="34"/>
  <c r="FM64" i="34"/>
  <c r="FL64" i="34"/>
  <c r="FK64" i="34"/>
  <c r="FJ64" i="34"/>
  <c r="FI64" i="34"/>
  <c r="FH64" i="34"/>
  <c r="FG64" i="34"/>
  <c r="FF64" i="34"/>
  <c r="FE64" i="34"/>
  <c r="FD64" i="34"/>
  <c r="FC64" i="34"/>
  <c r="FB64" i="34"/>
  <c r="FA64" i="34"/>
  <c r="EZ64" i="34"/>
  <c r="EY64" i="34"/>
  <c r="EX64" i="34"/>
  <c r="EW64" i="34"/>
  <c r="EV64" i="34"/>
  <c r="EU64" i="34"/>
  <c r="ET64" i="34"/>
  <c r="KG63" i="34"/>
  <c r="KF63" i="34"/>
  <c r="KE63" i="34"/>
  <c r="KD63" i="34"/>
  <c r="KC63" i="34"/>
  <c r="KB63" i="34"/>
  <c r="KA63" i="34"/>
  <c r="JZ63" i="34"/>
  <c r="JY63" i="34"/>
  <c r="JX63" i="34"/>
  <c r="JW63" i="34"/>
  <c r="JV63" i="34"/>
  <c r="JU63" i="34"/>
  <c r="JT63" i="34"/>
  <c r="JS63" i="34"/>
  <c r="JR63" i="34"/>
  <c r="JQ63" i="34"/>
  <c r="JP63" i="34"/>
  <c r="JO63" i="34"/>
  <c r="JN63" i="34"/>
  <c r="JM63" i="34"/>
  <c r="JL63" i="34"/>
  <c r="JK63" i="34"/>
  <c r="JJ63" i="34"/>
  <c r="JI63" i="34"/>
  <c r="JH63" i="34"/>
  <c r="JG63" i="34"/>
  <c r="JF63" i="34"/>
  <c r="JE63" i="34"/>
  <c r="JD63" i="34"/>
  <c r="JC63" i="34"/>
  <c r="JB63" i="34"/>
  <c r="JA63" i="34"/>
  <c r="IZ63" i="34"/>
  <c r="IY63" i="34"/>
  <c r="IX63" i="34"/>
  <c r="IW63" i="34"/>
  <c r="IV63" i="34"/>
  <c r="IU63" i="34"/>
  <c r="IT63" i="34"/>
  <c r="IS63" i="34"/>
  <c r="IR63" i="34"/>
  <c r="IQ63" i="34"/>
  <c r="IP63" i="34"/>
  <c r="IO63" i="34"/>
  <c r="IN63" i="34"/>
  <c r="IM63" i="34"/>
  <c r="IL63" i="34"/>
  <c r="IK63" i="34"/>
  <c r="IJ63" i="34"/>
  <c r="II63" i="34"/>
  <c r="IH63" i="34"/>
  <c r="IG63" i="34"/>
  <c r="IF63" i="34"/>
  <c r="IE63" i="34"/>
  <c r="ID63" i="34"/>
  <c r="IC63" i="34"/>
  <c r="IB63" i="34"/>
  <c r="IA63" i="34"/>
  <c r="HZ63" i="34"/>
  <c r="HY63" i="34"/>
  <c r="HX63" i="34"/>
  <c r="HW63" i="34"/>
  <c r="HV63" i="34"/>
  <c r="HU63" i="34"/>
  <c r="HT63" i="34"/>
  <c r="HS63" i="34"/>
  <c r="HR63" i="34"/>
  <c r="HQ63" i="34"/>
  <c r="HP63" i="34"/>
  <c r="HO63" i="34"/>
  <c r="HN63" i="34"/>
  <c r="HM63" i="34"/>
  <c r="HL63" i="34"/>
  <c r="HK63" i="34"/>
  <c r="HJ63" i="34"/>
  <c r="HI63" i="34"/>
  <c r="HH63" i="34"/>
  <c r="HG63" i="34"/>
  <c r="HF63" i="34"/>
  <c r="HE63" i="34"/>
  <c r="HD63" i="34"/>
  <c r="HC63" i="34"/>
  <c r="HB63" i="34"/>
  <c r="HA63" i="34"/>
  <c r="GZ63" i="34"/>
  <c r="GY63" i="34"/>
  <c r="GX63" i="34"/>
  <c r="GW63" i="34"/>
  <c r="GV63" i="34"/>
  <c r="GU63" i="34"/>
  <c r="GT63" i="34"/>
  <c r="GS63" i="34"/>
  <c r="GR63" i="34"/>
  <c r="GQ63" i="34"/>
  <c r="GP63" i="34"/>
  <c r="GO63" i="34"/>
  <c r="GN63" i="34"/>
  <c r="GM63" i="34"/>
  <c r="GL63" i="34"/>
  <c r="GK63" i="34"/>
  <c r="GJ63" i="34"/>
  <c r="GI63" i="34"/>
  <c r="GH63" i="34"/>
  <c r="GG63" i="34"/>
  <c r="GF63" i="34"/>
  <c r="GE63" i="34"/>
  <c r="GD63" i="34"/>
  <c r="GC63" i="34"/>
  <c r="GB63" i="34"/>
  <c r="GA63" i="34"/>
  <c r="FZ63" i="34"/>
  <c r="FY63" i="34"/>
  <c r="FX63" i="34"/>
  <c r="FW63" i="34"/>
  <c r="FV63" i="34"/>
  <c r="FU63" i="34"/>
  <c r="FT63" i="34"/>
  <c r="FS63" i="34"/>
  <c r="FR63" i="34"/>
  <c r="FQ63" i="34"/>
  <c r="FP63" i="34"/>
  <c r="FO63" i="34"/>
  <c r="FN63" i="34"/>
  <c r="FM63" i="34"/>
  <c r="FL63" i="34"/>
  <c r="FK63" i="34"/>
  <c r="FJ63" i="34"/>
  <c r="FI63" i="34"/>
  <c r="FH63" i="34"/>
  <c r="FG63" i="34"/>
  <c r="FF63" i="34"/>
  <c r="FE63" i="34"/>
  <c r="FD63" i="34"/>
  <c r="FC63" i="34"/>
  <c r="FB63" i="34"/>
  <c r="FA63" i="34"/>
  <c r="EZ63" i="34"/>
  <c r="EY63" i="34"/>
  <c r="EX63" i="34"/>
  <c r="EW63" i="34"/>
  <c r="EV63" i="34"/>
  <c r="EU63" i="34"/>
  <c r="ET63" i="34"/>
  <c r="KG52" i="34"/>
  <c r="KF52" i="34"/>
  <c r="KE52" i="34"/>
  <c r="KD52" i="34"/>
  <c r="KC52" i="34"/>
  <c r="KB52" i="34"/>
  <c r="KA52" i="34"/>
  <c r="JZ52" i="34"/>
  <c r="JY52" i="34"/>
  <c r="JX52" i="34"/>
  <c r="JW52" i="34"/>
  <c r="JV52" i="34"/>
  <c r="JU52" i="34"/>
  <c r="JT52" i="34"/>
  <c r="JS52" i="34"/>
  <c r="JR52" i="34"/>
  <c r="JQ52" i="34"/>
  <c r="JP52" i="34"/>
  <c r="JO52" i="34"/>
  <c r="JN52" i="34"/>
  <c r="JM52" i="34"/>
  <c r="JL52" i="34"/>
  <c r="JK52" i="34"/>
  <c r="JJ52" i="34"/>
  <c r="JI52" i="34"/>
  <c r="JH52" i="34"/>
  <c r="JG52" i="34"/>
  <c r="JF52" i="34"/>
  <c r="JE52" i="34"/>
  <c r="JD52" i="34"/>
  <c r="JC52" i="34"/>
  <c r="JB52" i="34"/>
  <c r="JA52" i="34"/>
  <c r="IZ52" i="34"/>
  <c r="IY52" i="34"/>
  <c r="IX52" i="34"/>
  <c r="IW52" i="34"/>
  <c r="IV52" i="34"/>
  <c r="IU52" i="34"/>
  <c r="IT52" i="34"/>
  <c r="IS52" i="34"/>
  <c r="IR52" i="34"/>
  <c r="IQ52" i="34"/>
  <c r="IP52" i="34"/>
  <c r="IO52" i="34"/>
  <c r="IN52" i="34"/>
  <c r="IM52" i="34"/>
  <c r="IL52" i="34"/>
  <c r="IK52" i="34"/>
  <c r="IJ52" i="34"/>
  <c r="II52" i="34"/>
  <c r="IH52" i="34"/>
  <c r="IG52" i="34"/>
  <c r="IF52" i="34"/>
  <c r="IE52" i="34"/>
  <c r="ID52" i="34"/>
  <c r="IC52" i="34"/>
  <c r="IB52" i="34"/>
  <c r="IA52" i="34"/>
  <c r="HZ52" i="34"/>
  <c r="HY52" i="34"/>
  <c r="HX52" i="34"/>
  <c r="HW52" i="34"/>
  <c r="HV52" i="34"/>
  <c r="HU52" i="34"/>
  <c r="HT52" i="34"/>
  <c r="HS52" i="34"/>
  <c r="HR52" i="34"/>
  <c r="HQ52" i="34"/>
  <c r="HP52" i="34"/>
  <c r="HO52" i="34"/>
  <c r="HN52" i="34"/>
  <c r="HM52" i="34"/>
  <c r="HL52" i="34"/>
  <c r="HK52" i="34"/>
  <c r="HJ52" i="34"/>
  <c r="HI52" i="34"/>
  <c r="HH52" i="34"/>
  <c r="HG52" i="34"/>
  <c r="HF52" i="34"/>
  <c r="HE52" i="34"/>
  <c r="HD52" i="34"/>
  <c r="HC52" i="34"/>
  <c r="HB52" i="34"/>
  <c r="HA52" i="34"/>
  <c r="GZ52" i="34"/>
  <c r="GY52" i="34"/>
  <c r="GX52" i="34"/>
  <c r="GW52" i="34"/>
  <c r="GV52" i="34"/>
  <c r="GU52" i="34"/>
  <c r="GT52" i="34"/>
  <c r="GS52" i="34"/>
  <c r="GR52" i="34"/>
  <c r="GQ52" i="34"/>
  <c r="GP52" i="34"/>
  <c r="GO52" i="34"/>
  <c r="GN52" i="34"/>
  <c r="GM52" i="34"/>
  <c r="GL52" i="34"/>
  <c r="GK52" i="34"/>
  <c r="GJ52" i="34"/>
  <c r="GI52" i="34"/>
  <c r="GH52" i="34"/>
  <c r="GG52" i="34"/>
  <c r="GF52" i="34"/>
  <c r="GE52" i="34"/>
  <c r="GD52" i="34"/>
  <c r="GC52" i="34"/>
  <c r="GB52" i="34"/>
  <c r="GA52" i="34"/>
  <c r="FZ52" i="34"/>
  <c r="FY52" i="34"/>
  <c r="FX52" i="34"/>
  <c r="FW52" i="34"/>
  <c r="FV52" i="34"/>
  <c r="FU52" i="34"/>
  <c r="FT52" i="34"/>
  <c r="FS52" i="34"/>
  <c r="FR52" i="34"/>
  <c r="FQ52" i="34"/>
  <c r="FP52" i="34"/>
  <c r="FO52" i="34"/>
  <c r="FN52" i="34"/>
  <c r="FM52" i="34"/>
  <c r="FL52" i="34"/>
  <c r="FK52" i="34"/>
  <c r="FJ52" i="34"/>
  <c r="FI52" i="34"/>
  <c r="FH52" i="34"/>
  <c r="FG52" i="34"/>
  <c r="FF52" i="34"/>
  <c r="FE52" i="34"/>
  <c r="FD52" i="34"/>
  <c r="FC52" i="34"/>
  <c r="FB52" i="34"/>
  <c r="FA52" i="34"/>
  <c r="EZ52" i="34"/>
  <c r="EY52" i="34"/>
  <c r="EX52" i="34"/>
  <c r="EW52" i="34"/>
  <c r="EV52" i="34"/>
  <c r="EU52" i="34"/>
  <c r="ET52" i="34"/>
  <c r="Q34" i="34"/>
  <c r="Q35" i="34" s="1"/>
  <c r="P34" i="34"/>
  <c r="P35" i="34" s="1"/>
  <c r="P36" i="34" s="1"/>
  <c r="P38" i="34" s="1"/>
  <c r="JV59" i="34" l="1"/>
  <c r="JN59" i="34"/>
  <c r="JE59" i="34"/>
  <c r="JU59" i="34"/>
  <c r="EQ60" i="34"/>
  <c r="KF60" i="34" s="1"/>
  <c r="EP60" i="34"/>
  <c r="KE60" i="34" s="1"/>
  <c r="EO60" i="34"/>
  <c r="KD60" i="34" s="1"/>
  <c r="EN60" i="34"/>
  <c r="KC60" i="34" s="1"/>
  <c r="ER60" i="34"/>
  <c r="KG60" i="34" s="1"/>
  <c r="JY59" i="34"/>
  <c r="JQ59" i="34"/>
  <c r="JI59" i="34"/>
  <c r="JG59" i="34"/>
  <c r="JW59" i="34"/>
  <c r="JO59" i="34"/>
  <c r="JF59" i="34"/>
  <c r="JP59" i="34"/>
  <c r="EI60" i="34"/>
  <c r="JX60" i="34" s="1"/>
  <c r="JH59" i="34"/>
  <c r="KB59" i="34"/>
  <c r="JD59" i="34"/>
  <c r="EE60" i="34"/>
  <c r="JT60" i="34" s="1"/>
  <c r="JL59" i="34"/>
  <c r="EK60" i="34"/>
  <c r="JZ60" i="34" s="1"/>
  <c r="JK59" i="34"/>
  <c r="ED60" i="34"/>
  <c r="JS60" i="34" s="1"/>
  <c r="EL60" i="34"/>
  <c r="KA60" i="34" s="1"/>
  <c r="JM59" i="34"/>
  <c r="DU60" i="34"/>
  <c r="JJ60" i="34" s="1"/>
  <c r="EC60" i="34"/>
  <c r="JR60" i="34" s="1"/>
  <c r="KH70" i="34"/>
  <c r="KJ70" i="34" s="1"/>
  <c r="KH62" i="34"/>
  <c r="KJ62" i="34" s="1"/>
  <c r="KH53" i="34"/>
  <c r="KN53" i="34" s="1"/>
  <c r="KH52" i="34"/>
  <c r="NK52" i="34" s="1"/>
  <c r="KH54" i="34"/>
  <c r="OT54" i="34" s="1"/>
  <c r="KH57" i="34"/>
  <c r="NB57" i="34" s="1"/>
  <c r="KH58" i="34"/>
  <c r="NZ58" i="34" s="1"/>
  <c r="KH61" i="34"/>
  <c r="PZ61" i="34" s="1"/>
  <c r="KH63" i="34"/>
  <c r="LZ63" i="34" s="1"/>
  <c r="KH64" i="34"/>
  <c r="PC64" i="34" s="1"/>
  <c r="KH66" i="34"/>
  <c r="KJ66" i="34" s="1"/>
  <c r="KH69" i="34"/>
  <c r="LU69" i="34" s="1"/>
  <c r="KH71" i="34"/>
  <c r="KJ71" i="34" s="1"/>
  <c r="KH72" i="34"/>
  <c r="NL72" i="34" s="1"/>
  <c r="KH73" i="34"/>
  <c r="KJ73" i="34" s="1"/>
  <c r="KH74" i="34"/>
  <c r="KJ74" i="34" s="1"/>
  <c r="KH75" i="34"/>
  <c r="KJ75" i="34" s="1"/>
  <c r="KH76" i="34"/>
  <c r="NO76" i="34" s="1"/>
  <c r="KH77" i="34"/>
  <c r="KM77" i="34" s="1"/>
  <c r="KH68" i="34"/>
  <c r="LU68" i="34" s="1"/>
  <c r="KH65" i="34"/>
  <c r="KU65" i="34" s="1"/>
  <c r="KH67" i="34"/>
  <c r="KJ67" i="34" s="1"/>
  <c r="KH56" i="34"/>
  <c r="KJ56" i="34" s="1"/>
  <c r="KH55" i="34"/>
  <c r="Q36" i="34"/>
  <c r="Q38" i="34" s="1"/>
  <c r="K86" i="34"/>
  <c r="D45" i="34"/>
  <c r="K105" i="34"/>
  <c r="PE74" i="34" l="1"/>
  <c r="LG69" i="34"/>
  <c r="NR69" i="34"/>
  <c r="LJ70" i="34"/>
  <c r="NE70" i="34"/>
  <c r="KZ70" i="34"/>
  <c r="OU70" i="34"/>
  <c r="LI70" i="34"/>
  <c r="KY70" i="34"/>
  <c r="LV66" i="34"/>
  <c r="KQ69" i="34"/>
  <c r="MV69" i="34"/>
  <c r="LC74" i="34"/>
  <c r="OI66" i="34"/>
  <c r="KT66" i="34"/>
  <c r="KW66" i="34"/>
  <c r="LB66" i="34"/>
  <c r="KH59" i="34"/>
  <c r="OB59" i="34" s="1"/>
  <c r="KV66" i="34"/>
  <c r="MG66" i="34"/>
  <c r="PJ66" i="34"/>
  <c r="LX66" i="34"/>
  <c r="KS66" i="34"/>
  <c r="NW66" i="34"/>
  <c r="NU73" i="34"/>
  <c r="MZ73" i="34"/>
  <c r="KM73" i="34"/>
  <c r="PL73" i="34"/>
  <c r="MT73" i="34"/>
  <c r="MN73" i="34"/>
  <c r="PJ73" i="34"/>
  <c r="LI73" i="34"/>
  <c r="OI73" i="34"/>
  <c r="MI73" i="34"/>
  <c r="PB73" i="34"/>
  <c r="LE73" i="34"/>
  <c r="LM73" i="34"/>
  <c r="KQ73" i="34"/>
  <c r="LP73" i="34"/>
  <c r="NK73" i="34"/>
  <c r="MR73" i="34"/>
  <c r="OP73" i="34"/>
  <c r="OB73" i="34"/>
  <c r="MS73" i="34"/>
  <c r="KU73" i="34"/>
  <c r="NZ73" i="34"/>
  <c r="OF73" i="34"/>
  <c r="NX73" i="34"/>
  <c r="OC73" i="34"/>
  <c r="OU73" i="34"/>
  <c r="KZ73" i="34"/>
  <c r="NY73" i="34"/>
  <c r="PK73" i="34"/>
  <c r="MM73" i="34"/>
  <c r="LV73" i="34"/>
  <c r="OA73" i="34"/>
  <c r="ML73" i="34"/>
  <c r="OZ73" i="34"/>
  <c r="OG73" i="34"/>
  <c r="OQ73" i="34"/>
  <c r="MP73" i="34"/>
  <c r="ND73" i="34"/>
  <c r="PD73" i="34"/>
  <c r="NC73" i="34"/>
  <c r="OJ73" i="34"/>
  <c r="KS73" i="34"/>
  <c r="PQ73" i="34"/>
  <c r="NH73" i="34"/>
  <c r="NB73" i="34"/>
  <c r="ON73" i="34"/>
  <c r="NG73" i="34"/>
  <c r="NV73" i="34"/>
  <c r="OW73" i="34"/>
  <c r="KP74" i="34"/>
  <c r="PT73" i="34"/>
  <c r="OH73" i="34"/>
  <c r="NM73" i="34"/>
  <c r="LF73" i="34"/>
  <c r="NS73" i="34"/>
  <c r="OT73" i="34"/>
  <c r="PE73" i="34"/>
  <c r="PP71" i="34"/>
  <c r="PS74" i="34"/>
  <c r="LH64" i="34"/>
  <c r="KQ70" i="34"/>
  <c r="PO70" i="34"/>
  <c r="OV74" i="34"/>
  <c r="OJ64" i="34"/>
  <c r="KM69" i="34"/>
  <c r="LJ73" i="34"/>
  <c r="MU73" i="34"/>
  <c r="PW73" i="34"/>
  <c r="LS73" i="34"/>
  <c r="KN73" i="34"/>
  <c r="PY73" i="34"/>
  <c r="PA73" i="34"/>
  <c r="PO73" i="34"/>
  <c r="PS73" i="34"/>
  <c r="PH73" i="34"/>
  <c r="LU73" i="34"/>
  <c r="PM73" i="34"/>
  <c r="MJ70" i="34"/>
  <c r="LA74" i="34"/>
  <c r="PR64" i="34"/>
  <c r="NQ64" i="34"/>
  <c r="PU69" i="34"/>
  <c r="NR73" i="34"/>
  <c r="MX73" i="34"/>
  <c r="KY73" i="34"/>
  <c r="MO73" i="34"/>
  <c r="KV73" i="34"/>
  <c r="KW73" i="34"/>
  <c r="KX73" i="34"/>
  <c r="KR73" i="34"/>
  <c r="LX73" i="34"/>
  <c r="PP73" i="34"/>
  <c r="MK73" i="34"/>
  <c r="LV70" i="34"/>
  <c r="NC74" i="34"/>
  <c r="MZ64" i="34"/>
  <c r="MA64" i="34"/>
  <c r="PD64" i="34"/>
  <c r="MD70" i="34"/>
  <c r="PL64" i="34"/>
  <c r="OU64" i="34"/>
  <c r="KT74" i="34"/>
  <c r="OJ69" i="34"/>
  <c r="NW73" i="34"/>
  <c r="MY73" i="34"/>
  <c r="OE73" i="34"/>
  <c r="PI73" i="34"/>
  <c r="MG73" i="34"/>
  <c r="LN73" i="34"/>
  <c r="LY73" i="34"/>
  <c r="MA73" i="34"/>
  <c r="MV73" i="34"/>
  <c r="OD73" i="34"/>
  <c r="NA73" i="34"/>
  <c r="LP70" i="34"/>
  <c r="NF74" i="34"/>
  <c r="NX64" i="34"/>
  <c r="OV66" i="34"/>
  <c r="LU66" i="34"/>
  <c r="OA66" i="34"/>
  <c r="KT70" i="34"/>
  <c r="LJ71" i="34"/>
  <c r="KO70" i="34"/>
  <c r="LG70" i="34"/>
  <c r="LX70" i="34"/>
  <c r="KX74" i="34"/>
  <c r="NL74" i="34"/>
  <c r="LP66" i="34"/>
  <c r="NA66" i="34"/>
  <c r="LC66" i="34"/>
  <c r="OQ66" i="34"/>
  <c r="OS66" i="34"/>
  <c r="NI64" i="34"/>
  <c r="NN64" i="34"/>
  <c r="KM66" i="34"/>
  <c r="LR66" i="34"/>
  <c r="NX71" i="34"/>
  <c r="ME70" i="34"/>
  <c r="PE70" i="34"/>
  <c r="OA74" i="34"/>
  <c r="OI74" i="34"/>
  <c r="NT74" i="34"/>
  <c r="NL66" i="34"/>
  <c r="PO66" i="34"/>
  <c r="KR66" i="34"/>
  <c r="NG66" i="34"/>
  <c r="LF66" i="34"/>
  <c r="OT66" i="34"/>
  <c r="KK67" i="34"/>
  <c r="NW70" i="34"/>
  <c r="MR70" i="34"/>
  <c r="PF74" i="34"/>
  <c r="KN74" i="34"/>
  <c r="MX74" i="34"/>
  <c r="LZ66" i="34"/>
  <c r="PD66" i="34"/>
  <c r="ND66" i="34"/>
  <c r="PY66" i="34"/>
  <c r="NR66" i="34"/>
  <c r="OO64" i="34"/>
  <c r="OA64" i="34"/>
  <c r="OK77" i="34"/>
  <c r="MO70" i="34"/>
  <c r="MY70" i="34"/>
  <c r="LO74" i="34"/>
  <c r="OY74" i="34"/>
  <c r="MK74" i="34"/>
  <c r="MS66" i="34"/>
  <c r="MX66" i="34"/>
  <c r="LY66" i="34"/>
  <c r="MZ66" i="34"/>
  <c r="LG66" i="34"/>
  <c r="LW66" i="34"/>
  <c r="KY66" i="34"/>
  <c r="OI70" i="34"/>
  <c r="NM70" i="34"/>
  <c r="OP70" i="34"/>
  <c r="OS74" i="34"/>
  <c r="MQ74" i="34"/>
  <c r="MS74" i="34"/>
  <c r="LJ66" i="34"/>
  <c r="KO66" i="34"/>
  <c r="NE66" i="34"/>
  <c r="NP66" i="34"/>
  <c r="ME66" i="34"/>
  <c r="LL64" i="34"/>
  <c r="MW64" i="34"/>
  <c r="KK75" i="34"/>
  <c r="PQ66" i="34"/>
  <c r="MA66" i="34"/>
  <c r="LL66" i="34"/>
  <c r="PI66" i="34"/>
  <c r="PA66" i="34"/>
  <c r="PL66" i="34"/>
  <c r="PV73" i="34"/>
  <c r="OV73" i="34"/>
  <c r="LK73" i="34"/>
  <c r="MJ73" i="34"/>
  <c r="PG73" i="34"/>
  <c r="LC73" i="34"/>
  <c r="LD73" i="34"/>
  <c r="OM73" i="34"/>
  <c r="LW73" i="34"/>
  <c r="PN73" i="34"/>
  <c r="NE73" i="34"/>
  <c r="LH73" i="34"/>
  <c r="OS73" i="34"/>
  <c r="NL73" i="34"/>
  <c r="PX73" i="34"/>
  <c r="PR73" i="34"/>
  <c r="NI73" i="34"/>
  <c r="PU73" i="34"/>
  <c r="LE70" i="34"/>
  <c r="MH70" i="34"/>
  <c r="LQ70" i="34"/>
  <c r="OV70" i="34"/>
  <c r="OB70" i="34"/>
  <c r="MR74" i="34"/>
  <c r="ML74" i="34"/>
  <c r="KZ74" i="34"/>
  <c r="PJ74" i="34"/>
  <c r="NV66" i="34"/>
  <c r="MP66" i="34"/>
  <c r="LM66" i="34"/>
  <c r="MW66" i="34"/>
  <c r="NN66" i="34"/>
  <c r="NQ66" i="34"/>
  <c r="NT66" i="34"/>
  <c r="NU66" i="34"/>
  <c r="MI66" i="34"/>
  <c r="OX66" i="34"/>
  <c r="MB66" i="34"/>
  <c r="OP66" i="34"/>
  <c r="PS66" i="34"/>
  <c r="MT66" i="34"/>
  <c r="PK66" i="34"/>
  <c r="NC66" i="34"/>
  <c r="PU66" i="34"/>
  <c r="MU75" i="34"/>
  <c r="LO77" i="34"/>
  <c r="OO66" i="34"/>
  <c r="OG66" i="34"/>
  <c r="ML66" i="34"/>
  <c r="MU66" i="34"/>
  <c r="PZ66" i="34"/>
  <c r="PG77" i="34"/>
  <c r="LA73" i="34"/>
  <c r="LQ66" i="34"/>
  <c r="LS66" i="34"/>
  <c r="MB73" i="34"/>
  <c r="KT73" i="34"/>
  <c r="ME73" i="34"/>
  <c r="NF73" i="34"/>
  <c r="LB73" i="34"/>
  <c r="LT73" i="34"/>
  <c r="LL73" i="34"/>
  <c r="OY73" i="34"/>
  <c r="MH73" i="34"/>
  <c r="KP73" i="34"/>
  <c r="NP73" i="34"/>
  <c r="LQ73" i="34"/>
  <c r="PF73" i="34"/>
  <c r="NT73" i="34"/>
  <c r="NN73" i="34"/>
  <c r="PZ73" i="34"/>
  <c r="NQ73" i="34"/>
  <c r="MV63" i="34"/>
  <c r="PW70" i="34"/>
  <c r="NA70" i="34"/>
  <c r="MC70" i="34"/>
  <c r="PD70" i="34"/>
  <c r="OJ70" i="34"/>
  <c r="NR74" i="34"/>
  <c r="MY74" i="34"/>
  <c r="LH74" i="34"/>
  <c r="PR74" i="34"/>
  <c r="NY66" i="34"/>
  <c r="OB66" i="34"/>
  <c r="NF66" i="34"/>
  <c r="NM66" i="34"/>
  <c r="OE66" i="34"/>
  <c r="OK66" i="34"/>
  <c r="OM66" i="34"/>
  <c r="ON66" i="34"/>
  <c r="MQ66" i="34"/>
  <c r="PG66" i="34"/>
  <c r="MJ66" i="34"/>
  <c r="OY66" i="34"/>
  <c r="KP66" i="34"/>
  <c r="NB66" i="34"/>
  <c r="PT66" i="34"/>
  <c r="NK66" i="34"/>
  <c r="OD66" i="34"/>
  <c r="OX75" i="34"/>
  <c r="NZ77" i="34"/>
  <c r="MF66" i="34"/>
  <c r="PV66" i="34"/>
  <c r="KZ66" i="34"/>
  <c r="OW66" i="34"/>
  <c r="OC66" i="34"/>
  <c r="PE66" i="34"/>
  <c r="PF66" i="34"/>
  <c r="PM66" i="34"/>
  <c r="PN66" i="34"/>
  <c r="MY66" i="34"/>
  <c r="PP66" i="34"/>
  <c r="MR66" i="34"/>
  <c r="PH66" i="34"/>
  <c r="KX66" i="34"/>
  <c r="NJ66" i="34"/>
  <c r="KQ66" i="34"/>
  <c r="NS66" i="34"/>
  <c r="OL66" i="34"/>
  <c r="MK75" i="34"/>
  <c r="LE77" i="34"/>
  <c r="LZ73" i="34"/>
  <c r="MD73" i="34"/>
  <c r="LG73" i="34"/>
  <c r="OX73" i="34"/>
  <c r="LR73" i="34"/>
  <c r="NJ73" i="34"/>
  <c r="OK73" i="34"/>
  <c r="MQ73" i="34"/>
  <c r="KO73" i="34"/>
  <c r="NO73" i="34"/>
  <c r="LO73" i="34"/>
  <c r="PC73" i="34"/>
  <c r="MW73" i="34"/>
  <c r="MF73" i="34"/>
  <c r="OR73" i="34"/>
  <c r="OL73" i="34"/>
  <c r="MC73" i="34"/>
  <c r="OO73" i="34"/>
  <c r="PC70" i="34"/>
  <c r="OA70" i="34"/>
  <c r="OS70" i="34"/>
  <c r="OH70" i="34"/>
  <c r="MG74" i="34"/>
  <c r="PA74" i="34"/>
  <c r="OM74" i="34"/>
  <c r="PX74" i="34"/>
  <c r="OW74" i="34"/>
  <c r="PW66" i="34"/>
  <c r="OU66" i="34"/>
  <c r="NI66" i="34"/>
  <c r="PX66" i="34"/>
  <c r="LE66" i="34"/>
  <c r="LH66" i="34"/>
  <c r="LI66" i="34"/>
  <c r="KU66" i="34"/>
  <c r="NO66" i="34"/>
  <c r="KN66" i="34"/>
  <c r="NH66" i="34"/>
  <c r="OH66" i="34"/>
  <c r="LN66" i="34"/>
  <c r="NZ66" i="34"/>
  <c r="LO66" i="34"/>
  <c r="OJ66" i="34"/>
  <c r="PB66" i="34"/>
  <c r="OW77" i="34"/>
  <c r="MC66" i="34"/>
  <c r="MV66" i="34"/>
  <c r="LA66" i="34"/>
  <c r="MH66" i="34"/>
  <c r="MK66" i="34"/>
  <c r="MN66" i="34"/>
  <c r="MO66" i="34"/>
  <c r="LK66" i="34"/>
  <c r="OF66" i="34"/>
  <c r="LD66" i="34"/>
  <c r="NX66" i="34"/>
  <c r="OZ66" i="34"/>
  <c r="MD66" i="34"/>
  <c r="OR66" i="34"/>
  <c r="MM66" i="34"/>
  <c r="PC66" i="34"/>
  <c r="PR66" i="34"/>
  <c r="PH77" i="34"/>
  <c r="LG71" i="34"/>
  <c r="MY71" i="34"/>
  <c r="MV71" i="34"/>
  <c r="PG71" i="34"/>
  <c r="LD71" i="34"/>
  <c r="ND71" i="34"/>
  <c r="KX77" i="34"/>
  <c r="NS71" i="34"/>
  <c r="LE71" i="34"/>
  <c r="LA77" i="34"/>
  <c r="NX77" i="34"/>
  <c r="MU71" i="34"/>
  <c r="OG71" i="34"/>
  <c r="NG71" i="34"/>
  <c r="KX71" i="34"/>
  <c r="MF77" i="34"/>
  <c r="MG71" i="34"/>
  <c r="NJ71" i="34"/>
  <c r="NN71" i="34"/>
  <c r="NR71" i="34"/>
  <c r="MD72" i="34"/>
  <c r="KO71" i="34"/>
  <c r="LQ71" i="34"/>
  <c r="NP71" i="34"/>
  <c r="LV71" i="34"/>
  <c r="PH71" i="34"/>
  <c r="KO64" i="34"/>
  <c r="PM64" i="34"/>
  <c r="OW64" i="34"/>
  <c r="LE64" i="34"/>
  <c r="KZ64" i="34"/>
  <c r="LI64" i="34"/>
  <c r="MX64" i="34"/>
  <c r="OM64" i="34"/>
  <c r="LB75" i="34"/>
  <c r="NM76" i="34"/>
  <c r="KO76" i="34"/>
  <c r="MO76" i="34"/>
  <c r="MG76" i="34"/>
  <c r="NR64" i="34"/>
  <c r="LO64" i="34"/>
  <c r="NE64" i="34"/>
  <c r="PK64" i="34"/>
  <c r="MJ76" i="34"/>
  <c r="NE71" i="34"/>
  <c r="OY71" i="34"/>
  <c r="OD71" i="34"/>
  <c r="LM71" i="34"/>
  <c r="PV71" i="34"/>
  <c r="KP64" i="34"/>
  <c r="PN64" i="34"/>
  <c r="PV64" i="34"/>
  <c r="LW64" i="34"/>
  <c r="NL64" i="34"/>
  <c r="NU64" i="34"/>
  <c r="PJ64" i="34"/>
  <c r="LQ75" i="34"/>
  <c r="PV76" i="34"/>
  <c r="OV64" i="34"/>
  <c r="OF64" i="34"/>
  <c r="LX64" i="34"/>
  <c r="PB64" i="34"/>
  <c r="LB71" i="34"/>
  <c r="LW71" i="34"/>
  <c r="MI71" i="34"/>
  <c r="NY71" i="34"/>
  <c r="KR71" i="34"/>
  <c r="MD64" i="34"/>
  <c r="NA64" i="34"/>
  <c r="LM64" i="34"/>
  <c r="OG64" i="34"/>
  <c r="MM64" i="34"/>
  <c r="NT64" i="34"/>
  <c r="PI64" i="34"/>
  <c r="KM64" i="34"/>
  <c r="OE75" i="34"/>
  <c r="LV76" i="34"/>
  <c r="NW76" i="34"/>
  <c r="PX76" i="34"/>
  <c r="MJ64" i="34"/>
  <c r="MK64" i="34"/>
  <c r="LD64" i="34"/>
  <c r="PZ64" i="34"/>
  <c r="LB64" i="34"/>
  <c r="MI64" i="34"/>
  <c r="PQ76" i="34"/>
  <c r="OB76" i="34"/>
  <c r="LF64" i="34"/>
  <c r="OI64" i="34"/>
  <c r="LG64" i="34"/>
  <c r="PO71" i="34"/>
  <c r="NW71" i="34"/>
  <c r="LL71" i="34"/>
  <c r="LF71" i="34"/>
  <c r="NT71" i="34"/>
  <c r="OP64" i="34"/>
  <c r="NB64" i="34"/>
  <c r="NH64" i="34"/>
  <c r="PE64" i="34"/>
  <c r="OY64" i="34"/>
  <c r="KS64" i="34"/>
  <c r="MP64" i="34"/>
  <c r="MY64" i="34"/>
  <c r="ON75" i="34"/>
  <c r="PI76" i="34"/>
  <c r="NA76" i="34"/>
  <c r="MM62" i="34"/>
  <c r="KU53" i="34"/>
  <c r="LN62" i="34"/>
  <c r="NV62" i="34"/>
  <c r="PT53" i="34"/>
  <c r="OY53" i="34"/>
  <c r="NQ62" i="34"/>
  <c r="MX53" i="34"/>
  <c r="OW62" i="34"/>
  <c r="PJ53" i="34"/>
  <c r="PE53" i="34"/>
  <c r="NF62" i="34"/>
  <c r="LX53" i="34"/>
  <c r="OJ53" i="34"/>
  <c r="LS53" i="34"/>
  <c r="LI53" i="34"/>
  <c r="NM53" i="34"/>
  <c r="MQ53" i="34"/>
  <c r="LT61" i="34"/>
  <c r="PY53" i="34"/>
  <c r="MM53" i="34"/>
  <c r="PR53" i="34"/>
  <c r="KV53" i="34"/>
  <c r="MZ53" i="34"/>
  <c r="OR53" i="34"/>
  <c r="NF53" i="34"/>
  <c r="LE53" i="34"/>
  <c r="OF53" i="34"/>
  <c r="OY62" i="34"/>
  <c r="NO62" i="34"/>
  <c r="NI53" i="34"/>
  <c r="KY53" i="34"/>
  <c r="NK53" i="34"/>
  <c r="PW53" i="34"/>
  <c r="MV53" i="34"/>
  <c r="PH53" i="34"/>
  <c r="OK53" i="34"/>
  <c r="LJ53" i="34"/>
  <c r="NV53" i="34"/>
  <c r="NQ53" i="34"/>
  <c r="OV53" i="34"/>
  <c r="LD53" i="34"/>
  <c r="MB53" i="34"/>
  <c r="NJ53" i="34"/>
  <c r="MS62" i="34"/>
  <c r="MG62" i="34"/>
  <c r="OB62" i="34"/>
  <c r="LY53" i="34"/>
  <c r="MS53" i="34"/>
  <c r="LG53" i="34"/>
  <c r="NS53" i="34"/>
  <c r="KR53" i="34"/>
  <c r="ND53" i="34"/>
  <c r="PP53" i="34"/>
  <c r="OS53" i="34"/>
  <c r="LR53" i="34"/>
  <c r="OD53" i="34"/>
  <c r="NY53" i="34"/>
  <c r="NZ53" i="34"/>
  <c r="PN53" i="34"/>
  <c r="KP53" i="34"/>
  <c r="LN53" i="34"/>
  <c r="PV53" i="34"/>
  <c r="MU53" i="34"/>
  <c r="NU53" i="34"/>
  <c r="PM53" i="34"/>
  <c r="OP53" i="34"/>
  <c r="ME62" i="34"/>
  <c r="PH62" i="34"/>
  <c r="MG53" i="34"/>
  <c r="OA53" i="34"/>
  <c r="KZ53" i="34"/>
  <c r="PX53" i="34"/>
  <c r="PA53" i="34"/>
  <c r="OL53" i="34"/>
  <c r="OG53" i="34"/>
  <c r="OU53" i="34"/>
  <c r="OM53" i="34"/>
  <c r="LM53" i="34"/>
  <c r="PG53" i="34"/>
  <c r="MT53" i="34"/>
  <c r="LC53" i="34"/>
  <c r="MI53" i="34"/>
  <c r="NJ62" i="34"/>
  <c r="LY62" i="34"/>
  <c r="MW62" i="34"/>
  <c r="KR61" i="34"/>
  <c r="LT53" i="34"/>
  <c r="LW53" i="34"/>
  <c r="OI53" i="34"/>
  <c r="LH53" i="34"/>
  <c r="NT53" i="34"/>
  <c r="MW53" i="34"/>
  <c r="PI53" i="34"/>
  <c r="MH53" i="34"/>
  <c r="OT53" i="34"/>
  <c r="OO53" i="34"/>
  <c r="MR53" i="34"/>
  <c r="NX53" i="34"/>
  <c r="PF53" i="34"/>
  <c r="OX53" i="34"/>
  <c r="MF53" i="34"/>
  <c r="KT53" i="34"/>
  <c r="MC53" i="34"/>
  <c r="KW62" i="34"/>
  <c r="NX62" i="34"/>
  <c r="LO53" i="34"/>
  <c r="NL53" i="34"/>
  <c r="LZ53" i="34"/>
  <c r="NH53" i="34"/>
  <c r="LU53" i="34"/>
  <c r="LD62" i="34"/>
  <c r="NB62" i="34"/>
  <c r="OC62" i="34"/>
  <c r="OT61" i="34"/>
  <c r="LF53" i="34"/>
  <c r="ME53" i="34"/>
  <c r="OQ53" i="34"/>
  <c r="LP53" i="34"/>
  <c r="OB53" i="34"/>
  <c r="NE53" i="34"/>
  <c r="PQ53" i="34"/>
  <c r="MP53" i="34"/>
  <c r="PB53" i="34"/>
  <c r="OW53" i="34"/>
  <c r="MD53" i="34"/>
  <c r="NG53" i="34"/>
  <c r="LL53" i="34"/>
  <c r="PC53" i="34"/>
  <c r="KY62" i="34"/>
  <c r="OI62" i="34"/>
  <c r="MI62" i="34"/>
  <c r="OE53" i="34"/>
  <c r="KQ53" i="34"/>
  <c r="NC53" i="34"/>
  <c r="PO53" i="34"/>
  <c r="MN53" i="34"/>
  <c r="OZ53" i="34"/>
  <c r="OC53" i="34"/>
  <c r="LB53" i="34"/>
  <c r="NN53" i="34"/>
  <c r="PZ53" i="34"/>
  <c r="PU53" i="34"/>
  <c r="KS53" i="34"/>
  <c r="LQ53" i="34"/>
  <c r="NB53" i="34"/>
  <c r="ON61" i="34"/>
  <c r="MW61" i="34"/>
  <c r="PL61" i="34"/>
  <c r="PA61" i="34"/>
  <c r="LS61" i="34"/>
  <c r="OL61" i="34"/>
  <c r="OP61" i="34"/>
  <c r="LG61" i="34"/>
  <c r="LV54" i="34"/>
  <c r="OA61" i="34"/>
  <c r="ML62" i="34"/>
  <c r="NP62" i="34"/>
  <c r="NR62" i="34"/>
  <c r="KT62" i="34"/>
  <c r="PO62" i="34"/>
  <c r="OS62" i="34"/>
  <c r="OU62" i="34"/>
  <c r="MQ61" i="34"/>
  <c r="NL61" i="34"/>
  <c r="KU62" i="34"/>
  <c r="OF62" i="34"/>
  <c r="PL62" i="34"/>
  <c r="LJ62" i="34"/>
  <c r="MV62" i="34"/>
  <c r="PI62" i="34"/>
  <c r="NO61" i="34"/>
  <c r="PP61" i="34"/>
  <c r="MC62" i="34"/>
  <c r="MZ54" i="34"/>
  <c r="MR62" i="34"/>
  <c r="KX62" i="34"/>
  <c r="LP62" i="34"/>
  <c r="LZ62" i="34"/>
  <c r="NL62" i="34"/>
  <c r="MP62" i="34"/>
  <c r="NQ61" i="34"/>
  <c r="LV61" i="34"/>
  <c r="PX61" i="34"/>
  <c r="OH54" i="34"/>
  <c r="LD54" i="34"/>
  <c r="NI62" i="34"/>
  <c r="PF62" i="34"/>
  <c r="LI62" i="34"/>
  <c r="NC62" i="34"/>
  <c r="PX62" i="34"/>
  <c r="PB62" i="34"/>
  <c r="PM61" i="34"/>
  <c r="LO61" i="34"/>
  <c r="MH61" i="34"/>
  <c r="PR62" i="34"/>
  <c r="OE62" i="34"/>
  <c r="LG57" i="34"/>
  <c r="LM62" i="34"/>
  <c r="LT62" i="34"/>
  <c r="MA62" i="34"/>
  <c r="LF62" i="34"/>
  <c r="KQ62" i="34"/>
  <c r="OO62" i="34"/>
  <c r="NA62" i="34"/>
  <c r="MJ62" i="34"/>
  <c r="LR62" i="34"/>
  <c r="MU62" i="34"/>
  <c r="PG62" i="34"/>
  <c r="NT62" i="34"/>
  <c r="MO62" i="34"/>
  <c r="PA62" i="34"/>
  <c r="NN62" i="34"/>
  <c r="PZ62" i="34"/>
  <c r="OM62" i="34"/>
  <c r="OO61" i="34"/>
  <c r="MR61" i="34"/>
  <c r="NS61" i="34"/>
  <c r="MO61" i="34"/>
  <c r="KR57" i="34"/>
  <c r="LN54" i="34"/>
  <c r="MB54" i="34"/>
  <c r="OX62" i="34"/>
  <c r="LV62" i="34"/>
  <c r="LG62" i="34"/>
  <c r="NY62" i="34"/>
  <c r="NK62" i="34"/>
  <c r="OJ62" i="34"/>
  <c r="PQ62" i="34"/>
  <c r="PC62" i="34"/>
  <c r="PS57" i="34"/>
  <c r="KS62" i="34"/>
  <c r="PE62" i="34"/>
  <c r="KR62" i="34"/>
  <c r="MK62" i="34"/>
  <c r="PW62" i="34"/>
  <c r="NE62" i="34"/>
  <c r="MQ62" i="34"/>
  <c r="MB62" i="34"/>
  <c r="KO62" i="34"/>
  <c r="KV62" i="34"/>
  <c r="LC62" i="34"/>
  <c r="KM62" i="34"/>
  <c r="MD62" i="34"/>
  <c r="LO62" i="34"/>
  <c r="KZ62" i="34"/>
  <c r="PM62" i="34"/>
  <c r="OV62" i="34"/>
  <c r="NH62" i="34"/>
  <c r="NS62" i="34"/>
  <c r="MF62" i="34"/>
  <c r="OR62" i="34"/>
  <c r="NM62" i="34"/>
  <c r="PY62" i="34"/>
  <c r="OL62" i="34"/>
  <c r="MY62" i="34"/>
  <c r="PK62" i="34"/>
  <c r="KU61" i="34"/>
  <c r="MD61" i="34"/>
  <c r="KZ61" i="34"/>
  <c r="PI61" i="34"/>
  <c r="PV62" i="34"/>
  <c r="OP62" i="34"/>
  <c r="OD62" i="34"/>
  <c r="LL62" i="34"/>
  <c r="LS62" i="34"/>
  <c r="LU62" i="34"/>
  <c r="LE62" i="34"/>
  <c r="MT62" i="34"/>
  <c r="LW62" i="34"/>
  <c r="LH62" i="34"/>
  <c r="LA62" i="34"/>
  <c r="PN62" i="34"/>
  <c r="NZ62" i="34"/>
  <c r="OA62" i="34"/>
  <c r="MN62" i="34"/>
  <c r="OZ62" i="34"/>
  <c r="NU62" i="34"/>
  <c r="MH62" i="34"/>
  <c r="OT62" i="34"/>
  <c r="NG62" i="34"/>
  <c r="PS62" i="34"/>
  <c r="KV61" i="34"/>
  <c r="OH61" i="34"/>
  <c r="ND61" i="34"/>
  <c r="LZ61" i="34"/>
  <c r="OH62" i="34"/>
  <c r="PD62" i="34"/>
  <c r="PU62" i="34"/>
  <c r="KP62" i="34"/>
  <c r="ON62" i="34"/>
  <c r="MZ62" i="34"/>
  <c r="LX62" i="34"/>
  <c r="LQ62" i="34"/>
  <c r="LB62" i="34"/>
  <c r="PT62" i="34"/>
  <c r="OQ62" i="34"/>
  <c r="ND62" i="34"/>
  <c r="PP62" i="34"/>
  <c r="OK62" i="34"/>
  <c r="MX62" i="34"/>
  <c r="PJ62" i="34"/>
  <c r="NW62" i="34"/>
  <c r="KN62" i="34"/>
  <c r="OP54" i="34"/>
  <c r="NZ54" i="34"/>
  <c r="MD54" i="34"/>
  <c r="ON54" i="34"/>
  <c r="KX72" i="34"/>
  <c r="PT72" i="34"/>
  <c r="NC58" i="34"/>
  <c r="MN58" i="34"/>
  <c r="LY58" i="34"/>
  <c r="NV58" i="34"/>
  <c r="PM58" i="34"/>
  <c r="NP58" i="34"/>
  <c r="MJ58" i="34"/>
  <c r="NK58" i="34"/>
  <c r="MV58" i="34"/>
  <c r="MG58" i="34"/>
  <c r="LR58" i="34"/>
  <c r="NI58" i="34"/>
  <c r="MT58" i="34"/>
  <c r="LC58" i="34"/>
  <c r="NW58" i="34"/>
  <c r="LG58" i="34"/>
  <c r="NS58" i="34"/>
  <c r="KR58" i="34"/>
  <c r="ND58" i="34"/>
  <c r="PP58" i="34"/>
  <c r="MO58" i="34"/>
  <c r="PA58" i="34"/>
  <c r="LZ58" i="34"/>
  <c r="OL58" i="34"/>
  <c r="LE58" i="34"/>
  <c r="NQ58" i="34"/>
  <c r="MB58" i="34"/>
  <c r="MA58" i="34"/>
  <c r="OA71" i="34"/>
  <c r="PQ71" i="34"/>
  <c r="MM71" i="34"/>
  <c r="KT71" i="34"/>
  <c r="NV71" i="34"/>
  <c r="OM71" i="34"/>
  <c r="MW71" i="34"/>
  <c r="OT71" i="34"/>
  <c r="NO71" i="34"/>
  <c r="LT71" i="34"/>
  <c r="OF71" i="34"/>
  <c r="LU71" i="34"/>
  <c r="OO71" i="34"/>
  <c r="LN71" i="34"/>
  <c r="NZ71" i="34"/>
  <c r="KZ71" i="34"/>
  <c r="NL71" i="34"/>
  <c r="PX71" i="34"/>
  <c r="LU70" i="34"/>
  <c r="MQ70" i="34"/>
  <c r="MA70" i="34"/>
  <c r="MX70" i="34"/>
  <c r="NV70" i="34"/>
  <c r="OT70" i="34"/>
  <c r="PQ70" i="34"/>
  <c r="NY70" i="34"/>
  <c r="MP70" i="34"/>
  <c r="LS70" i="34"/>
  <c r="PR70" i="34"/>
  <c r="MZ70" i="34"/>
  <c r="PL70" i="34"/>
  <c r="ML70" i="34"/>
  <c r="OX70" i="34"/>
  <c r="MF70" i="34"/>
  <c r="OR70" i="34"/>
  <c r="OV58" i="34"/>
  <c r="ON72" i="34"/>
  <c r="OL76" i="34"/>
  <c r="PL58" i="34"/>
  <c r="MY58" i="34"/>
  <c r="PX58" i="34"/>
  <c r="LM58" i="34"/>
  <c r="OE71" i="34"/>
  <c r="MB71" i="34"/>
  <c r="ON71" i="34"/>
  <c r="MK71" i="34"/>
  <c r="OW71" i="34"/>
  <c r="LW70" i="34"/>
  <c r="OW70" i="34"/>
  <c r="MW70" i="34"/>
  <c r="NU70" i="34"/>
  <c r="OQ70" i="34"/>
  <c r="PM70" i="34"/>
  <c r="KM70" i="34"/>
  <c r="OL70" i="34"/>
  <c r="NC70" i="34"/>
  <c r="MG70" i="34"/>
  <c r="KN70" i="34"/>
  <c r="NH70" i="34"/>
  <c r="PT70" i="34"/>
  <c r="MT70" i="34"/>
  <c r="PF70" i="34"/>
  <c r="MN70" i="34"/>
  <c r="OZ70" i="34"/>
  <c r="PV58" i="34"/>
  <c r="NG58" i="34"/>
  <c r="KP58" i="34"/>
  <c r="KV72" i="34"/>
  <c r="MD58" i="34"/>
  <c r="LW58" i="34"/>
  <c r="OI58" i="34"/>
  <c r="LH58" i="34"/>
  <c r="NT58" i="34"/>
  <c r="KS58" i="34"/>
  <c r="NE58" i="34"/>
  <c r="PQ58" i="34"/>
  <c r="MP58" i="34"/>
  <c r="PB58" i="34"/>
  <c r="LU58" i="34"/>
  <c r="OG58" i="34"/>
  <c r="KM58" i="34"/>
  <c r="PD58" i="34"/>
  <c r="ME71" i="34"/>
  <c r="OI71" i="34"/>
  <c r="MH71" i="34"/>
  <c r="OQ71" i="34"/>
  <c r="MP71" i="34"/>
  <c r="KW71" i="34"/>
  <c r="PS71" i="34"/>
  <c r="OC71" i="34"/>
  <c r="PZ71" i="34"/>
  <c r="OU71" i="34"/>
  <c r="MJ71" i="34"/>
  <c r="OV71" i="34"/>
  <c r="MS71" i="34"/>
  <c r="PE71" i="34"/>
  <c r="MD71" i="34"/>
  <c r="OP71" i="34"/>
  <c r="LP71" i="34"/>
  <c r="OB71" i="34"/>
  <c r="NK70" i="34"/>
  <c r="MU70" i="34"/>
  <c r="NQ70" i="34"/>
  <c r="OM70" i="34"/>
  <c r="PJ70" i="34"/>
  <c r="KW70" i="34"/>
  <c r="LA70" i="34"/>
  <c r="OY70" i="34"/>
  <c r="NO70" i="34"/>
  <c r="MS70" i="34"/>
  <c r="KV70" i="34"/>
  <c r="NP70" i="34"/>
  <c r="KP70" i="34"/>
  <c r="NB70" i="34"/>
  <c r="PN70" i="34"/>
  <c r="MV70" i="34"/>
  <c r="PH70" i="34"/>
  <c r="PC58" i="34"/>
  <c r="OX58" i="34"/>
  <c r="OK58" i="34"/>
  <c r="OS58" i="34"/>
  <c r="OA58" i="34"/>
  <c r="MW58" i="34"/>
  <c r="NY58" i="34"/>
  <c r="KN58" i="34"/>
  <c r="ME58" i="34"/>
  <c r="OQ58" i="34"/>
  <c r="LP58" i="34"/>
  <c r="LA58" i="34"/>
  <c r="PY58" i="34"/>
  <c r="MX58" i="34"/>
  <c r="PJ58" i="34"/>
  <c r="MC58" i="34"/>
  <c r="OO58" i="34"/>
  <c r="PD57" i="34"/>
  <c r="OH58" i="34"/>
  <c r="MX71" i="34"/>
  <c r="LY71" i="34"/>
  <c r="NF71" i="34"/>
  <c r="KS71" i="34"/>
  <c r="NU71" i="34"/>
  <c r="LK71" i="34"/>
  <c r="PW71" i="34"/>
  <c r="OS71" i="34"/>
  <c r="KQ71" i="34"/>
  <c r="PK71" i="34"/>
  <c r="MR71" i="34"/>
  <c r="PD71" i="34"/>
  <c r="NA71" i="34"/>
  <c r="PM71" i="34"/>
  <c r="ML71" i="34"/>
  <c r="OX71" i="34"/>
  <c r="LX71" i="34"/>
  <c r="OJ71" i="34"/>
  <c r="OD70" i="34"/>
  <c r="NN70" i="34"/>
  <c r="PA70" i="34"/>
  <c r="OK70" i="34"/>
  <c r="PI70" i="34"/>
  <c r="KU70" i="34"/>
  <c r="LR70" i="34"/>
  <c r="LM70" i="34"/>
  <c r="PK70" i="34"/>
  <c r="OC70" i="34"/>
  <c r="NF70" i="34"/>
  <c r="LL70" i="34"/>
  <c r="NX70" i="34"/>
  <c r="KX70" i="34"/>
  <c r="NJ70" i="34"/>
  <c r="PV70" i="34"/>
  <c r="ND70" i="34"/>
  <c r="PP70" i="34"/>
  <c r="OF58" i="34"/>
  <c r="ML58" i="34"/>
  <c r="PU72" i="34"/>
  <c r="NX58" i="34"/>
  <c r="KQ58" i="34"/>
  <c r="PO58" i="34"/>
  <c r="OZ58" i="34"/>
  <c r="LJ58" i="34"/>
  <c r="NA58" i="34"/>
  <c r="NR58" i="34"/>
  <c r="LV58" i="34"/>
  <c r="LT58" i="34"/>
  <c r="OP58" i="34"/>
  <c r="KY58" i="34"/>
  <c r="PW58" i="34"/>
  <c r="PH58" i="34"/>
  <c r="OD58" i="34"/>
  <c r="PU58" i="34"/>
  <c r="MZ58" i="34"/>
  <c r="KZ58" i="34"/>
  <c r="PI58" i="34"/>
  <c r="OT58" i="34"/>
  <c r="LI71" i="34"/>
  <c r="NK71" i="34"/>
  <c r="PB71" i="34"/>
  <c r="PC71" i="34"/>
  <c r="NM71" i="34"/>
  <c r="PJ71" i="34"/>
  <c r="LH71" i="34"/>
  <c r="NM58" i="34"/>
  <c r="NP57" i="34"/>
  <c r="MM58" i="34"/>
  <c r="OY58" i="34"/>
  <c r="LX58" i="34"/>
  <c r="OJ58" i="34"/>
  <c r="LI58" i="34"/>
  <c r="NU58" i="34"/>
  <c r="KT58" i="34"/>
  <c r="NF58" i="34"/>
  <c r="PR58" i="34"/>
  <c r="MK58" i="34"/>
  <c r="OW58" i="34"/>
  <c r="PF58" i="34"/>
  <c r="NO58" i="34"/>
  <c r="NC71" i="34"/>
  <c r="OK71" i="34"/>
  <c r="OL71" i="34"/>
  <c r="LO71" i="34"/>
  <c r="PA71" i="34"/>
  <c r="MA71" i="34"/>
  <c r="KM71" i="34"/>
  <c r="PI71" i="34"/>
  <c r="LC71" i="34"/>
  <c r="KN71" i="34"/>
  <c r="MZ71" i="34"/>
  <c r="PL71" i="34"/>
  <c r="NI71" i="34"/>
  <c r="PU71" i="34"/>
  <c r="MT71" i="34"/>
  <c r="PF71" i="34"/>
  <c r="MF71" i="34"/>
  <c r="OR71" i="34"/>
  <c r="PS70" i="34"/>
  <c r="LY70" i="34"/>
  <c r="LB70" i="34"/>
  <c r="PG70" i="34"/>
  <c r="KS70" i="34"/>
  <c r="LO70" i="34"/>
  <c r="MK70" i="34"/>
  <c r="LZ70" i="34"/>
  <c r="PY70" i="34"/>
  <c r="OO70" i="34"/>
  <c r="NS70" i="34"/>
  <c r="LT70" i="34"/>
  <c r="OF70" i="34"/>
  <c r="LF70" i="34"/>
  <c r="NR70" i="34"/>
  <c r="KR70" i="34"/>
  <c r="NL70" i="34"/>
  <c r="PX70" i="34"/>
  <c r="NJ58" i="34"/>
  <c r="LS58" i="34"/>
  <c r="OP72" i="34"/>
  <c r="NQ72" i="34"/>
  <c r="OG62" i="34"/>
  <c r="KO58" i="34"/>
  <c r="KW58" i="34"/>
  <c r="LO58" i="34"/>
  <c r="NL58" i="34"/>
  <c r="MH58" i="34"/>
  <c r="LF58" i="34"/>
  <c r="LD58" i="34"/>
  <c r="LR71" i="34"/>
  <c r="OH71" i="34"/>
  <c r="OB58" i="34"/>
  <c r="MU58" i="34"/>
  <c r="PG58" i="34"/>
  <c r="MF58" i="34"/>
  <c r="OR58" i="34"/>
  <c r="LQ58" i="34"/>
  <c r="OC58" i="34"/>
  <c r="LB58" i="34"/>
  <c r="NN58" i="34"/>
  <c r="PZ58" i="34"/>
  <c r="MS58" i="34"/>
  <c r="PE58" i="34"/>
  <c r="ON58" i="34"/>
  <c r="OM58" i="34"/>
  <c r="MR58" i="34"/>
  <c r="KY71" i="34"/>
  <c r="LZ71" i="34"/>
  <c r="PR71" i="34"/>
  <c r="MO71" i="34"/>
  <c r="KU71" i="34"/>
  <c r="MQ71" i="34"/>
  <c r="LA71" i="34"/>
  <c r="PY71" i="34"/>
  <c r="LS71" i="34"/>
  <c r="KV71" i="34"/>
  <c r="NH71" i="34"/>
  <c r="PT71" i="34"/>
  <c r="NQ71" i="34"/>
  <c r="KP71" i="34"/>
  <c r="NB71" i="34"/>
  <c r="PN71" i="34"/>
  <c r="MN71" i="34"/>
  <c r="OZ71" i="34"/>
  <c r="PU70" i="34"/>
  <c r="OG70" i="34"/>
  <c r="NI70" i="34"/>
  <c r="PZ70" i="34"/>
  <c r="LK70" i="34"/>
  <c r="MI70" i="34"/>
  <c r="NG70" i="34"/>
  <c r="MM70" i="34"/>
  <c r="LC70" i="34"/>
  <c r="PB70" i="34"/>
  <c r="OE70" i="34"/>
  <c r="MB70" i="34"/>
  <c r="ON70" i="34"/>
  <c r="LN70" i="34"/>
  <c r="NZ70" i="34"/>
  <c r="LH70" i="34"/>
  <c r="NT70" i="34"/>
  <c r="MQ58" i="34"/>
  <c r="MC71" i="34"/>
  <c r="NZ72" i="34"/>
  <c r="LQ68" i="34"/>
  <c r="PY69" i="34"/>
  <c r="KU69" i="34"/>
  <c r="PS77" i="34"/>
  <c r="OC77" i="34"/>
  <c r="OZ77" i="34"/>
  <c r="LP77" i="34"/>
  <c r="OQ77" i="34"/>
  <c r="LG77" i="34"/>
  <c r="NR77" i="34"/>
  <c r="KP77" i="34"/>
  <c r="KW77" i="34"/>
  <c r="NP77" i="34"/>
  <c r="LC69" i="34"/>
  <c r="NS69" i="34"/>
  <c r="PK77" i="34"/>
  <c r="NM77" i="34"/>
  <c r="OR77" i="34"/>
  <c r="KZ77" i="34"/>
  <c r="OA77" i="34"/>
  <c r="KY77" i="34"/>
  <c r="NJ77" i="34"/>
  <c r="PN54" i="34"/>
  <c r="KP54" i="34"/>
  <c r="MR77" i="34"/>
  <c r="KV54" i="34"/>
  <c r="MM72" i="34"/>
  <c r="PC77" i="34"/>
  <c r="MW77" i="34"/>
  <c r="OB77" i="34"/>
  <c r="KR77" i="34"/>
  <c r="NS77" i="34"/>
  <c r="KQ77" i="34"/>
  <c r="NB77" i="34"/>
  <c r="NY77" i="34"/>
  <c r="LT77" i="34"/>
  <c r="PT54" i="34"/>
  <c r="KN54" i="34"/>
  <c r="KW68" i="34"/>
  <c r="KR69" i="34"/>
  <c r="OE69" i="34"/>
  <c r="PY77" i="34"/>
  <c r="MO77" i="34"/>
  <c r="NL77" i="34"/>
  <c r="NK77" i="34"/>
  <c r="PV77" i="34"/>
  <c r="MT77" i="34"/>
  <c r="NQ77" i="34"/>
  <c r="LD77" i="34"/>
  <c r="PL54" i="34"/>
  <c r="OE77" i="34"/>
  <c r="KK74" i="34"/>
  <c r="LR68" i="34"/>
  <c r="LL69" i="34"/>
  <c r="PU77" i="34"/>
  <c r="PI77" i="34"/>
  <c r="MG77" i="34"/>
  <c r="ND77" i="34"/>
  <c r="NC77" i="34"/>
  <c r="PN77" i="34"/>
  <c r="MD77" i="34"/>
  <c r="NI77" i="34"/>
  <c r="MY77" i="34"/>
  <c r="PO69" i="34"/>
  <c r="OZ69" i="34"/>
  <c r="NX69" i="34"/>
  <c r="PP57" i="34"/>
  <c r="LT66" i="34"/>
  <c r="PM77" i="34"/>
  <c r="PA77" i="34"/>
  <c r="LY77" i="34"/>
  <c r="PX77" i="34"/>
  <c r="MV77" i="34"/>
  <c r="PW77" i="34"/>
  <c r="MU77" i="34"/>
  <c r="PF77" i="34"/>
  <c r="LN77" i="34"/>
  <c r="NB54" i="34"/>
  <c r="MK77" i="34"/>
  <c r="PD77" i="34"/>
  <c r="NP54" i="34"/>
  <c r="LS77" i="34"/>
  <c r="PE77" i="34"/>
  <c r="OS77" i="34"/>
  <c r="LQ77" i="34"/>
  <c r="PP77" i="34"/>
  <c r="MN77" i="34"/>
  <c r="PO77" i="34"/>
  <c r="ME77" i="34"/>
  <c r="OP77" i="34"/>
  <c r="LF77" i="34"/>
  <c r="LM77" i="34"/>
  <c r="OF77" i="34"/>
  <c r="KU77" i="34"/>
  <c r="LH75" i="34"/>
  <c r="KX61" i="34"/>
  <c r="MB61" i="34"/>
  <c r="MZ61" i="34"/>
  <c r="NX61" i="34"/>
  <c r="OV61" i="34"/>
  <c r="PT61" i="34"/>
  <c r="LC61" i="34"/>
  <c r="LF61" i="34"/>
  <c r="NR61" i="34"/>
  <c r="KQ61" i="34"/>
  <c r="NC61" i="34"/>
  <c r="PO61" i="34"/>
  <c r="MN61" i="34"/>
  <c r="OZ61" i="34"/>
  <c r="LY61" i="34"/>
  <c r="OK61" i="34"/>
  <c r="LJ61" i="34"/>
  <c r="NV61" i="34"/>
  <c r="OO63" i="34"/>
  <c r="KX58" i="34"/>
  <c r="NE74" i="34"/>
  <c r="ME74" i="34"/>
  <c r="OH74" i="34"/>
  <c r="KS74" i="34"/>
  <c r="MT74" i="34"/>
  <c r="OU74" i="34"/>
  <c r="NJ74" i="34"/>
  <c r="LL74" i="34"/>
  <c r="PK74" i="34"/>
  <c r="NM74" i="34"/>
  <c r="LQ74" i="34"/>
  <c r="PO74" i="34"/>
  <c r="MV74" i="34"/>
  <c r="PH74" i="34"/>
  <c r="MH74" i="34"/>
  <c r="OT74" i="34"/>
  <c r="LM74" i="34"/>
  <c r="OG74" i="34"/>
  <c r="OE58" i="34"/>
  <c r="LN58" i="34"/>
  <c r="OC75" i="34"/>
  <c r="OS75" i="34"/>
  <c r="PI75" i="34"/>
  <c r="NB75" i="34"/>
  <c r="OR75" i="34"/>
  <c r="PZ75" i="34"/>
  <c r="PV72" i="34"/>
  <c r="NA72" i="34"/>
  <c r="LL58" i="34"/>
  <c r="PK75" i="34"/>
  <c r="LR67" i="34"/>
  <c r="NA61" i="34"/>
  <c r="MY61" i="34"/>
  <c r="NW61" i="34"/>
  <c r="OU61" i="34"/>
  <c r="PS61" i="34"/>
  <c r="KW61" i="34"/>
  <c r="LU61" i="34"/>
  <c r="LN61" i="34"/>
  <c r="NZ61" i="34"/>
  <c r="KY61" i="34"/>
  <c r="NK61" i="34"/>
  <c r="PW61" i="34"/>
  <c r="MV61" i="34"/>
  <c r="PH61" i="34"/>
  <c r="MG61" i="34"/>
  <c r="OS61" i="34"/>
  <c r="LR61" i="34"/>
  <c r="OD61" i="34"/>
  <c r="KX63" i="34"/>
  <c r="LV75" i="34"/>
  <c r="NG74" i="34"/>
  <c r="PD74" i="34"/>
  <c r="PG74" i="34"/>
  <c r="LS74" i="34"/>
  <c r="NS74" i="34"/>
  <c r="PT74" i="34"/>
  <c r="NW74" i="34"/>
  <c r="LY74" i="34"/>
  <c r="PW74" i="34"/>
  <c r="NZ74" i="34"/>
  <c r="MD74" i="34"/>
  <c r="KR74" i="34"/>
  <c r="ND74" i="34"/>
  <c r="PP74" i="34"/>
  <c r="MP74" i="34"/>
  <c r="PB74" i="34"/>
  <c r="MC74" i="34"/>
  <c r="OO74" i="34"/>
  <c r="NH58" i="34"/>
  <c r="KU58" i="34"/>
  <c r="LD75" i="34"/>
  <c r="MI75" i="34"/>
  <c r="ML75" i="34"/>
  <c r="NO75" i="34"/>
  <c r="KT75" i="34"/>
  <c r="KW75" i="34"/>
  <c r="PF72" i="34"/>
  <c r="PN58" i="34"/>
  <c r="LU72" i="34"/>
  <c r="LL75" i="34"/>
  <c r="PK61" i="34"/>
  <c r="KO61" i="34"/>
  <c r="LM61" i="34"/>
  <c r="MK61" i="34"/>
  <c r="NI61" i="34"/>
  <c r="OG61" i="34"/>
  <c r="ML61" i="34"/>
  <c r="OX61" i="34"/>
  <c r="LW61" i="34"/>
  <c r="OI61" i="34"/>
  <c r="LH61" i="34"/>
  <c r="NT61" i="34"/>
  <c r="KS61" i="34"/>
  <c r="NE61" i="34"/>
  <c r="PQ61" i="34"/>
  <c r="MP61" i="34"/>
  <c r="PB61" i="34"/>
  <c r="MA61" i="34"/>
  <c r="LG74" i="34"/>
  <c r="NB74" i="34"/>
  <c r="MO74" i="34"/>
  <c r="OQ74" i="34"/>
  <c r="KV74" i="34"/>
  <c r="LK74" i="34"/>
  <c r="PI74" i="34"/>
  <c r="NK74" i="34"/>
  <c r="LN74" i="34"/>
  <c r="PL74" i="34"/>
  <c r="NP74" i="34"/>
  <c r="LP74" i="34"/>
  <c r="OB74" i="34"/>
  <c r="LB74" i="34"/>
  <c r="NN74" i="34"/>
  <c r="PZ74" i="34"/>
  <c r="NA74" i="34"/>
  <c r="PM74" i="34"/>
  <c r="KV58" i="34"/>
  <c r="PS58" i="34"/>
  <c r="PC75" i="34"/>
  <c r="MR75" i="34"/>
  <c r="KX75" i="34"/>
  <c r="KN75" i="34"/>
  <c r="LP75" i="34"/>
  <c r="NF75" i="34"/>
  <c r="NI75" i="34"/>
  <c r="NJ72" i="34"/>
  <c r="MR72" i="34"/>
  <c r="NU75" i="34"/>
  <c r="MS75" i="34"/>
  <c r="KN61" i="34"/>
  <c r="LL61" i="34"/>
  <c r="MJ61" i="34"/>
  <c r="NH61" i="34"/>
  <c r="OF61" i="34"/>
  <c r="PD61" i="34"/>
  <c r="MT61" i="34"/>
  <c r="PF61" i="34"/>
  <c r="ME61" i="34"/>
  <c r="OQ61" i="34"/>
  <c r="LP61" i="34"/>
  <c r="OB61" i="34"/>
  <c r="LA61" i="34"/>
  <c r="NM61" i="34"/>
  <c r="PY61" i="34"/>
  <c r="MX61" i="34"/>
  <c r="PJ61" i="34"/>
  <c r="MS61" i="34"/>
  <c r="OE74" i="34"/>
  <c r="LI74" i="34"/>
  <c r="NO74" i="34"/>
  <c r="PQ74" i="34"/>
  <c r="LV74" i="34"/>
  <c r="LW74" i="34"/>
  <c r="PV74" i="34"/>
  <c r="NX74" i="34"/>
  <c r="MA74" i="34"/>
  <c r="PY74" i="34"/>
  <c r="OC74" i="34"/>
  <c r="LX74" i="34"/>
  <c r="OJ74" i="34"/>
  <c r="LJ74" i="34"/>
  <c r="NV74" i="34"/>
  <c r="KO74" i="34"/>
  <c r="NI74" i="34"/>
  <c r="PU74" i="34"/>
  <c r="NP75" i="34"/>
  <c r="KU75" i="34"/>
  <c r="LK75" i="34"/>
  <c r="NM75" i="34"/>
  <c r="MF75" i="34"/>
  <c r="NN75" i="34"/>
  <c r="OW75" i="34"/>
  <c r="OM61" i="34"/>
  <c r="LQ67" i="34"/>
  <c r="KM61" i="34"/>
  <c r="LK61" i="34"/>
  <c r="MI61" i="34"/>
  <c r="NG61" i="34"/>
  <c r="OE61" i="34"/>
  <c r="PC61" i="34"/>
  <c r="KP61" i="34"/>
  <c r="NB61" i="34"/>
  <c r="PN61" i="34"/>
  <c r="MM61" i="34"/>
  <c r="OY61" i="34"/>
  <c r="LX61" i="34"/>
  <c r="OJ61" i="34"/>
  <c r="LI61" i="34"/>
  <c r="NU61" i="34"/>
  <c r="KT61" i="34"/>
  <c r="NF61" i="34"/>
  <c r="PR61" i="34"/>
  <c r="MA75" i="34"/>
  <c r="MB74" i="34"/>
  <c r="MI74" i="34"/>
  <c r="ON74" i="34"/>
  <c r="KU74" i="34"/>
  <c r="MU74" i="34"/>
  <c r="MJ74" i="34"/>
  <c r="KM74" i="34"/>
  <c r="OK74" i="34"/>
  <c r="MM74" i="34"/>
  <c r="KQ74" i="34"/>
  <c r="OP74" i="34"/>
  <c r="MF74" i="34"/>
  <c r="OR74" i="34"/>
  <c r="LR74" i="34"/>
  <c r="OD74" i="34"/>
  <c r="KW74" i="34"/>
  <c r="NQ74" i="34"/>
  <c r="LS69" i="34"/>
  <c r="PT58" i="34"/>
  <c r="LD70" i="34"/>
  <c r="PO75" i="34"/>
  <c r="NG75" i="34"/>
  <c r="MJ75" i="34"/>
  <c r="NZ75" i="34"/>
  <c r="NT75" i="34"/>
  <c r="OD75" i="34"/>
  <c r="PE75" i="34"/>
  <c r="LN72" i="34"/>
  <c r="OO72" i="34"/>
  <c r="KK71" i="34"/>
  <c r="NC75" i="34"/>
  <c r="LR75" i="34"/>
  <c r="LB65" i="34"/>
  <c r="LE61" i="34"/>
  <c r="MC61" i="34"/>
  <c r="NY61" i="34"/>
  <c r="OW61" i="34"/>
  <c r="PU61" i="34"/>
  <c r="NJ61" i="34"/>
  <c r="PV61" i="34"/>
  <c r="MU61" i="34"/>
  <c r="PG61" i="34"/>
  <c r="MF61" i="34"/>
  <c r="OR61" i="34"/>
  <c r="LQ61" i="34"/>
  <c r="OC61" i="34"/>
  <c r="LB61" i="34"/>
  <c r="NN61" i="34"/>
  <c r="LU74" i="34"/>
  <c r="LF74" i="34"/>
  <c r="OF74" i="34"/>
  <c r="NH74" i="34"/>
  <c r="PN74" i="34"/>
  <c r="LT74" i="34"/>
  <c r="NU74" i="34"/>
  <c r="MW74" i="34"/>
  <c r="KY74" i="34"/>
  <c r="OX74" i="34"/>
  <c r="MZ74" i="34"/>
  <c r="LD74" i="34"/>
  <c r="PC74" i="34"/>
  <c r="MN74" i="34"/>
  <c r="OZ74" i="34"/>
  <c r="LZ74" i="34"/>
  <c r="OL74" i="34"/>
  <c r="LE74" i="34"/>
  <c r="NY74" i="34"/>
  <c r="LY75" i="34"/>
  <c r="NS75" i="34"/>
  <c r="OV75" i="34"/>
  <c r="OY75" i="34"/>
  <c r="OB75" i="34"/>
  <c r="PR75" i="34"/>
  <c r="PU75" i="34"/>
  <c r="PL53" i="34"/>
  <c r="KO53" i="34"/>
  <c r="MK53" i="34"/>
  <c r="ND57" i="34"/>
  <c r="ON53" i="34"/>
  <c r="NW53" i="34"/>
  <c r="KX53" i="34"/>
  <c r="MO57" i="34"/>
  <c r="LA53" i="34"/>
  <c r="PA57" i="34"/>
  <c r="MO53" i="34"/>
  <c r="LK62" i="34"/>
  <c r="KX57" i="34"/>
  <c r="PL57" i="34"/>
  <c r="NS57" i="34"/>
  <c r="MT57" i="34"/>
  <c r="MA69" i="34"/>
  <c r="KZ69" i="34"/>
  <c r="LM69" i="34"/>
  <c r="MG69" i="34"/>
  <c r="LF69" i="34"/>
  <c r="LH69" i="34"/>
  <c r="KT69" i="34"/>
  <c r="PP69" i="34"/>
  <c r="PB69" i="34"/>
  <c r="NE69" i="34"/>
  <c r="LE69" i="34"/>
  <c r="OC69" i="34"/>
  <c r="LP69" i="34"/>
  <c r="OQ69" i="34"/>
  <c r="LT69" i="34"/>
  <c r="OF69" i="34"/>
  <c r="NZ69" i="34"/>
  <c r="OH57" i="34"/>
  <c r="OX57" i="34"/>
  <c r="OV57" i="34"/>
  <c r="OP57" i="34"/>
  <c r="LS68" i="34"/>
  <c r="KJ68" i="34"/>
  <c r="KK68" i="34" s="1"/>
  <c r="NZ64" i="34"/>
  <c r="OX64" i="34"/>
  <c r="PX64" i="34"/>
  <c r="MT64" i="34"/>
  <c r="ME64" i="34"/>
  <c r="OQ64" i="34"/>
  <c r="LP64" i="34"/>
  <c r="OB64" i="34"/>
  <c r="LA64" i="34"/>
  <c r="NM64" i="34"/>
  <c r="KT64" i="34"/>
  <c r="NF64" i="34"/>
  <c r="PS64" i="34"/>
  <c r="MQ64" i="34"/>
  <c r="LO57" i="34"/>
  <c r="OA57" i="34"/>
  <c r="KZ57" i="34"/>
  <c r="NL57" i="34"/>
  <c r="PX57" i="34"/>
  <c r="MW57" i="34"/>
  <c r="PI57" i="34"/>
  <c r="MH57" i="34"/>
  <c r="OT57" i="34"/>
  <c r="LU57" i="34"/>
  <c r="OG57" i="34"/>
  <c r="PK53" i="34"/>
  <c r="NW57" i="34"/>
  <c r="NE75" i="34"/>
  <c r="KY75" i="34"/>
  <c r="ME75" i="34"/>
  <c r="OQ75" i="34"/>
  <c r="OF75" i="34"/>
  <c r="NH75" i="34"/>
  <c r="LW75" i="34"/>
  <c r="PV75" i="34"/>
  <c r="PW75" i="34"/>
  <c r="OM75" i="34"/>
  <c r="OA75" i="34"/>
  <c r="LX75" i="34"/>
  <c r="OJ75" i="34"/>
  <c r="LJ75" i="34"/>
  <c r="NV75" i="34"/>
  <c r="KO75" i="34"/>
  <c r="NA75" i="34"/>
  <c r="PM75" i="34"/>
  <c r="KR76" i="34"/>
  <c r="KJ76" i="34"/>
  <c r="KK76" i="34" s="1"/>
  <c r="NF77" i="34"/>
  <c r="KT52" i="34"/>
  <c r="KJ52" i="34"/>
  <c r="KK52" i="34" s="1"/>
  <c r="OL57" i="34"/>
  <c r="NY57" i="34"/>
  <c r="MA57" i="34"/>
  <c r="NF69" i="34"/>
  <c r="MP69" i="34"/>
  <c r="MT69" i="34"/>
  <c r="MU69" i="34"/>
  <c r="MI69" i="34"/>
  <c r="LV69" i="34"/>
  <c r="LI69" i="34"/>
  <c r="KW69" i="34"/>
  <c r="PR69" i="34"/>
  <c r="NO69" i="34"/>
  <c r="LN69" i="34"/>
  <c r="OM69" i="34"/>
  <c r="LY69" i="34"/>
  <c r="PA69" i="34"/>
  <c r="MB69" i="34"/>
  <c r="ON69" i="34"/>
  <c r="OH69" i="34"/>
  <c r="NO57" i="34"/>
  <c r="PV57" i="34"/>
  <c r="OE57" i="34"/>
  <c r="LL65" i="34"/>
  <c r="KJ65" i="34"/>
  <c r="NZ57" i="34"/>
  <c r="MC69" i="34"/>
  <c r="MZ57" i="34"/>
  <c r="LW57" i="34"/>
  <c r="OI57" i="34"/>
  <c r="LH57" i="34"/>
  <c r="NT57" i="34"/>
  <c r="KS57" i="34"/>
  <c r="NE57" i="34"/>
  <c r="PQ57" i="34"/>
  <c r="MP57" i="34"/>
  <c r="PB57" i="34"/>
  <c r="MC57" i="34"/>
  <c r="OO57" i="34"/>
  <c r="MD57" i="34"/>
  <c r="NY64" i="34"/>
  <c r="KJ64" i="34"/>
  <c r="PS53" i="34"/>
  <c r="KJ53" i="34"/>
  <c r="KN55" i="34"/>
  <c r="KJ55" i="34"/>
  <c r="LD57" i="34"/>
  <c r="NI69" i="34"/>
  <c r="NY69" i="34"/>
  <c r="OO69" i="34"/>
  <c r="NL69" i="34"/>
  <c r="MW69" i="34"/>
  <c r="MK69" i="34"/>
  <c r="LX69" i="34"/>
  <c r="LJ69" i="34"/>
  <c r="KS69" i="34"/>
  <c r="OA69" i="34"/>
  <c r="LW69" i="34"/>
  <c r="OY69" i="34"/>
  <c r="MH69" i="34"/>
  <c r="PK69" i="34"/>
  <c r="MJ69" i="34"/>
  <c r="OV69" i="34"/>
  <c r="OP69" i="34"/>
  <c r="MR57" i="34"/>
  <c r="PC57" i="34"/>
  <c r="PT57" i="34"/>
  <c r="NH57" i="34"/>
  <c r="NG57" i="34"/>
  <c r="LK57" i="34"/>
  <c r="PU64" i="34"/>
  <c r="KX64" i="34"/>
  <c r="LV64" i="34"/>
  <c r="ON64" i="34"/>
  <c r="MU64" i="34"/>
  <c r="PG64" i="34"/>
  <c r="MF64" i="34"/>
  <c r="OR64" i="34"/>
  <c r="LQ64" i="34"/>
  <c r="OC64" i="34"/>
  <c r="LJ64" i="34"/>
  <c r="NV64" i="34"/>
  <c r="KU64" i="34"/>
  <c r="NG64" i="34"/>
  <c r="PT64" i="34"/>
  <c r="ME57" i="34"/>
  <c r="OQ57" i="34"/>
  <c r="LP57" i="34"/>
  <c r="OB57" i="34"/>
  <c r="LA57" i="34"/>
  <c r="NM57" i="34"/>
  <c r="PY57" i="34"/>
  <c r="MX57" i="34"/>
  <c r="PJ57" i="34"/>
  <c r="MK57" i="34"/>
  <c r="OW57" i="34"/>
  <c r="OU57" i="34"/>
  <c r="NR53" i="34"/>
  <c r="KN57" i="34"/>
  <c r="PD75" i="34"/>
  <c r="NR75" i="34"/>
  <c r="LF75" i="34"/>
  <c r="LG75" i="34"/>
  <c r="PF75" i="34"/>
  <c r="OH75" i="34"/>
  <c r="MW75" i="34"/>
  <c r="MY75" i="34"/>
  <c r="LA75" i="34"/>
  <c r="PL75" i="34"/>
  <c r="PA75" i="34"/>
  <c r="MN75" i="34"/>
  <c r="OZ75" i="34"/>
  <c r="LZ75" i="34"/>
  <c r="OL75" i="34"/>
  <c r="LE75" i="34"/>
  <c r="NQ75" i="34"/>
  <c r="NR57" i="34"/>
  <c r="LD63" i="34"/>
  <c r="KJ63" i="34"/>
  <c r="KK63" i="34" s="1"/>
  <c r="PC69" i="34"/>
  <c r="KJ69" i="34"/>
  <c r="KK70" i="34" s="1"/>
  <c r="NV69" i="34"/>
  <c r="PX69" i="34"/>
  <c r="LO69" i="34"/>
  <c r="OB69" i="34"/>
  <c r="NM69" i="34"/>
  <c r="MY69" i="34"/>
  <c r="ML69" i="34"/>
  <c r="LZ69" i="34"/>
  <c r="LB69" i="34"/>
  <c r="OK69" i="34"/>
  <c r="MF69" i="34"/>
  <c r="PI69" i="34"/>
  <c r="MQ69" i="34"/>
  <c r="PW69" i="34"/>
  <c r="MR69" i="34"/>
  <c r="PD69" i="34"/>
  <c r="OX69" i="34"/>
  <c r="LV57" i="34"/>
  <c r="OF57" i="34"/>
  <c r="ML57" i="34"/>
  <c r="MJ57" i="34"/>
  <c r="KW64" i="34"/>
  <c r="LU64" i="34"/>
  <c r="MS64" i="34"/>
  <c r="PF64" i="34"/>
  <c r="NC64" i="34"/>
  <c r="PP64" i="34"/>
  <c r="MN64" i="34"/>
  <c r="OZ64" i="34"/>
  <c r="LY64" i="34"/>
  <c r="OK64" i="34"/>
  <c r="LR64" i="34"/>
  <c r="OD64" i="34"/>
  <c r="LC64" i="34"/>
  <c r="NO64" i="34"/>
  <c r="PO64" i="34"/>
  <c r="MM57" i="34"/>
  <c r="OY57" i="34"/>
  <c r="LX57" i="34"/>
  <c r="OJ57" i="34"/>
  <c r="LI57" i="34"/>
  <c r="NU57" i="34"/>
  <c r="KT57" i="34"/>
  <c r="NF57" i="34"/>
  <c r="PR57" i="34"/>
  <c r="MS57" i="34"/>
  <c r="PE57" i="34"/>
  <c r="NX57" i="34"/>
  <c r="NA53" i="34"/>
  <c r="MB64" i="34"/>
  <c r="KM53" i="34"/>
  <c r="KP75" i="34"/>
  <c r="PQ75" i="34"/>
  <c r="MQ75" i="34"/>
  <c r="LT75" i="34"/>
  <c r="PS75" i="34"/>
  <c r="OU75" i="34"/>
  <c r="NJ75" i="34"/>
  <c r="NK75" i="34"/>
  <c r="LN75" i="34"/>
  <c r="PY75" i="34"/>
  <c r="PN75" i="34"/>
  <c r="MV75" i="34"/>
  <c r="PH75" i="34"/>
  <c r="MH75" i="34"/>
  <c r="OT75" i="34"/>
  <c r="LM75" i="34"/>
  <c r="NY75" i="34"/>
  <c r="LF57" i="34"/>
  <c r="NP61" i="34"/>
  <c r="KJ61" i="34"/>
  <c r="PA52" i="34"/>
  <c r="KY69" i="34"/>
  <c r="LA69" i="34"/>
  <c r="ND69" i="34"/>
  <c r="OS69" i="34"/>
  <c r="OD69" i="34"/>
  <c r="NN69" i="34"/>
  <c r="NB69" i="34"/>
  <c r="MN69" i="34"/>
  <c r="LK69" i="34"/>
  <c r="OU69" i="34"/>
  <c r="MO69" i="34"/>
  <c r="PS69" i="34"/>
  <c r="NA69" i="34"/>
  <c r="KN69" i="34"/>
  <c r="MZ69" i="34"/>
  <c r="PL69" i="34"/>
  <c r="PF69" i="34"/>
  <c r="LC57" i="34"/>
  <c r="NJ57" i="34"/>
  <c r="LS57" i="34"/>
  <c r="LN57" i="34"/>
  <c r="KV64" i="34"/>
  <c r="LT64" i="34"/>
  <c r="MR64" i="34"/>
  <c r="NP64" i="34"/>
  <c r="KQ64" i="34"/>
  <c r="NK64" i="34"/>
  <c r="PY64" i="34"/>
  <c r="MV64" i="34"/>
  <c r="PH64" i="34"/>
  <c r="MG64" i="34"/>
  <c r="OS64" i="34"/>
  <c r="LZ64" i="34"/>
  <c r="OL64" i="34"/>
  <c r="LK64" i="34"/>
  <c r="NW64" i="34"/>
  <c r="PW64" i="34"/>
  <c r="MU57" i="34"/>
  <c r="PG57" i="34"/>
  <c r="MF57" i="34"/>
  <c r="OR57" i="34"/>
  <c r="LQ57" i="34"/>
  <c r="OC57" i="34"/>
  <c r="LB57" i="34"/>
  <c r="NN57" i="34"/>
  <c r="PZ57" i="34"/>
  <c r="NA57" i="34"/>
  <c r="PM57" i="34"/>
  <c r="ML53" i="34"/>
  <c r="KQ75" i="34"/>
  <c r="KS75" i="34"/>
  <c r="LC75" i="34"/>
  <c r="OP75" i="34"/>
  <c r="MG75" i="34"/>
  <c r="KV75" i="34"/>
  <c r="PG75" i="34"/>
  <c r="NW75" i="34"/>
  <c r="NX75" i="34"/>
  <c r="MM75" i="34"/>
  <c r="MB75" i="34"/>
  <c r="KR75" i="34"/>
  <c r="ND75" i="34"/>
  <c r="PP75" i="34"/>
  <c r="MP75" i="34"/>
  <c r="PB75" i="34"/>
  <c r="LU75" i="34"/>
  <c r="OG75" i="34"/>
  <c r="ND76" i="34"/>
  <c r="OQ76" i="34"/>
  <c r="OH76" i="34"/>
  <c r="PM76" i="34"/>
  <c r="OV76" i="34"/>
  <c r="PS72" i="34"/>
  <c r="PN57" i="34"/>
  <c r="KJ57" i="34"/>
  <c r="KK57" i="34" s="1"/>
  <c r="PF57" i="34"/>
  <c r="LQ69" i="34"/>
  <c r="PE69" i="34"/>
  <c r="ME69" i="34"/>
  <c r="MS69" i="34"/>
  <c r="OR69" i="34"/>
  <c r="PJ69" i="34"/>
  <c r="OT69" i="34"/>
  <c r="OG69" i="34"/>
  <c r="NQ69" i="34"/>
  <c r="NC69" i="34"/>
  <c r="MD69" i="34"/>
  <c r="PG69" i="34"/>
  <c r="MX69" i="34"/>
  <c r="KO69" i="34"/>
  <c r="NK69" i="34"/>
  <c r="KV69" i="34"/>
  <c r="NH69" i="34"/>
  <c r="PT69" i="34"/>
  <c r="PN69" i="34"/>
  <c r="MQ57" i="34"/>
  <c r="KV57" i="34"/>
  <c r="KU57" i="34"/>
  <c r="KO57" i="34"/>
  <c r="LN64" i="34"/>
  <c r="ML64" i="34"/>
  <c r="NJ64" i="34"/>
  <c r="OH64" i="34"/>
  <c r="KY64" i="34"/>
  <c r="NS64" i="34"/>
  <c r="KR64" i="34"/>
  <c r="ND64" i="34"/>
  <c r="PQ64" i="34"/>
  <c r="MO64" i="34"/>
  <c r="PA64" i="34"/>
  <c r="MH64" i="34"/>
  <c r="OT64" i="34"/>
  <c r="LS64" i="34"/>
  <c r="OE64" i="34"/>
  <c r="KQ57" i="34"/>
  <c r="NC57" i="34"/>
  <c r="PO57" i="34"/>
  <c r="MN57" i="34"/>
  <c r="OZ57" i="34"/>
  <c r="LY57" i="34"/>
  <c r="OK57" i="34"/>
  <c r="LJ57" i="34"/>
  <c r="NV57" i="34"/>
  <c r="KW57" i="34"/>
  <c r="NI57" i="34"/>
  <c r="PU57" i="34"/>
  <c r="MI57" i="34"/>
  <c r="MA53" i="34"/>
  <c r="LO75" i="34"/>
  <c r="LS75" i="34"/>
  <c r="MD75" i="34"/>
  <c r="KM75" i="34"/>
  <c r="MT75" i="34"/>
  <c r="LI75" i="34"/>
  <c r="PT75" i="34"/>
  <c r="OI75" i="34"/>
  <c r="OK75" i="34"/>
  <c r="MZ75" i="34"/>
  <c r="MO75" i="34"/>
  <c r="KZ75" i="34"/>
  <c r="NL75" i="34"/>
  <c r="PX75" i="34"/>
  <c r="MX75" i="34"/>
  <c r="PJ75" i="34"/>
  <c r="MC75" i="34"/>
  <c r="OO75" i="34"/>
  <c r="MV76" i="34"/>
  <c r="NZ76" i="34"/>
  <c r="NY76" i="34"/>
  <c r="NH76" i="34"/>
  <c r="MP77" i="34"/>
  <c r="KJ77" i="34"/>
  <c r="MU72" i="34"/>
  <c r="KJ72" i="34"/>
  <c r="KK72" i="34" s="1"/>
  <c r="PK58" i="34"/>
  <c r="KJ58" i="34"/>
  <c r="NS54" i="34"/>
  <c r="KJ54" i="34"/>
  <c r="LZ57" i="34"/>
  <c r="LM57" i="34"/>
  <c r="KP57" i="34"/>
  <c r="LR69" i="34"/>
  <c r="OM57" i="34"/>
  <c r="PH69" i="34"/>
  <c r="NW69" i="34"/>
  <c r="OL69" i="34"/>
  <c r="KP69" i="34"/>
  <c r="PZ69" i="34"/>
  <c r="PM69" i="34"/>
  <c r="OW69" i="34"/>
  <c r="OI69" i="34"/>
  <c r="NT69" i="34"/>
  <c r="MM69" i="34"/>
  <c r="PQ69" i="34"/>
  <c r="NG69" i="34"/>
  <c r="KX69" i="34"/>
  <c r="NU69" i="34"/>
  <c r="LD69" i="34"/>
  <c r="NP69" i="34"/>
  <c r="NJ69" i="34"/>
  <c r="PV69" i="34"/>
  <c r="LT57" i="34"/>
  <c r="KY57" i="34"/>
  <c r="NK57" i="34"/>
  <c r="PW57" i="34"/>
  <c r="MV57" i="34"/>
  <c r="PH57" i="34"/>
  <c r="MG57" i="34"/>
  <c r="OS57" i="34"/>
  <c r="LR57" i="34"/>
  <c r="OD57" i="34"/>
  <c r="LE57" i="34"/>
  <c r="NQ57" i="34"/>
  <c r="LL57" i="34"/>
  <c r="MB57" i="34"/>
  <c r="MY57" i="34"/>
  <c r="KN63" i="34"/>
  <c r="LU63" i="34"/>
  <c r="ND63" i="34"/>
  <c r="MH63" i="34"/>
  <c r="KN64" i="34"/>
  <c r="NP53" i="34"/>
  <c r="PA76" i="34"/>
  <c r="LQ76" i="34"/>
  <c r="PP76" i="34"/>
  <c r="MF76" i="34"/>
  <c r="NR76" i="34"/>
  <c r="MC76" i="34"/>
  <c r="LL77" i="34"/>
  <c r="MB76" i="34"/>
  <c r="MQ77" i="34"/>
  <c r="MQ76" i="34"/>
  <c r="NO72" i="34"/>
  <c r="LB76" i="34"/>
  <c r="MU54" i="34"/>
  <c r="MZ63" i="34"/>
  <c r="NX63" i="34"/>
  <c r="KY63" i="34"/>
  <c r="PH63" i="34"/>
  <c r="OL63" i="34"/>
  <c r="OS76" i="34"/>
  <c r="PH76" i="34"/>
  <c r="LP76" i="34"/>
  <c r="PW76" i="34"/>
  <c r="NJ76" i="34"/>
  <c r="LU76" i="34"/>
  <c r="MC64" i="34"/>
  <c r="LT76" i="34"/>
  <c r="LS76" i="34"/>
  <c r="MA72" i="34"/>
  <c r="KT76" i="34"/>
  <c r="OP63" i="34"/>
  <c r="LG63" i="34"/>
  <c r="PP63" i="34"/>
  <c r="OT63" i="34"/>
  <c r="OC76" i="34"/>
  <c r="OR76" i="34"/>
  <c r="LH76" i="34"/>
  <c r="PG76" i="34"/>
  <c r="MT76" i="34"/>
  <c r="LM76" i="34"/>
  <c r="PT76" i="34"/>
  <c r="KV76" i="34"/>
  <c r="LK76" i="34"/>
  <c r="OV63" i="34"/>
  <c r="NK63" i="34"/>
  <c r="MO63" i="34"/>
  <c r="LC63" i="34"/>
  <c r="LA76" i="34"/>
  <c r="PN63" i="34"/>
  <c r="NS63" i="34"/>
  <c r="MW63" i="34"/>
  <c r="LK63" i="34"/>
  <c r="NE76" i="34"/>
  <c r="NT76" i="34"/>
  <c r="OI76" i="34"/>
  <c r="PF76" i="34"/>
  <c r="LN76" i="34"/>
  <c r="OO76" i="34"/>
  <c r="ON76" i="34"/>
  <c r="LI72" i="34"/>
  <c r="NQ63" i="34"/>
  <c r="PT63" i="34"/>
  <c r="PW63" i="34"/>
  <c r="PA63" i="34"/>
  <c r="NO63" i="34"/>
  <c r="PY76" i="34"/>
  <c r="MW76" i="34"/>
  <c r="NL76" i="34"/>
  <c r="OP76" i="34"/>
  <c r="LF76" i="34"/>
  <c r="OG76" i="34"/>
  <c r="OF76" i="34"/>
  <c r="PD53" i="34"/>
  <c r="PC76" i="34"/>
  <c r="PR77" i="34"/>
  <c r="LY54" i="34"/>
  <c r="MJ53" i="34"/>
  <c r="LV63" i="34"/>
  <c r="KW63" i="34"/>
  <c r="KR63" i="34"/>
  <c r="PI63" i="34"/>
  <c r="NW63" i="34"/>
  <c r="OH72" i="34"/>
  <c r="LV72" i="34"/>
  <c r="OG72" i="34"/>
  <c r="LE72" i="34"/>
  <c r="PL72" i="34"/>
  <c r="MJ72" i="34"/>
  <c r="PK72" i="34"/>
  <c r="LC72" i="34"/>
  <c r="KM57" i="34"/>
  <c r="OL72" i="34"/>
  <c r="OT52" i="34"/>
  <c r="LA72" i="34"/>
  <c r="ND72" i="34"/>
  <c r="LO54" i="34"/>
  <c r="ME72" i="34"/>
  <c r="KU54" i="34"/>
  <c r="KW72" i="34"/>
  <c r="PD72" i="34"/>
  <c r="MB72" i="34"/>
  <c r="PC72" i="34"/>
  <c r="KU72" i="34"/>
  <c r="OD72" i="34"/>
  <c r="LH72" i="34"/>
  <c r="LW72" i="34"/>
  <c r="KM54" i="34"/>
  <c r="NR72" i="34"/>
  <c r="LF72" i="34"/>
  <c r="NI72" i="34"/>
  <c r="KO72" i="34"/>
  <c r="OV72" i="34"/>
  <c r="LL72" i="34"/>
  <c r="ON57" i="34"/>
  <c r="OM72" i="34"/>
  <c r="KM72" i="34"/>
  <c r="MA54" i="34"/>
  <c r="NV72" i="34"/>
  <c r="PY72" i="34"/>
  <c r="PI52" i="34"/>
  <c r="KZ72" i="34"/>
  <c r="OQ54" i="34"/>
  <c r="KQ52" i="34"/>
  <c r="NO53" i="34"/>
  <c r="LT65" i="34"/>
  <c r="LZ72" i="34"/>
  <c r="OC72" i="34"/>
  <c r="KR72" i="34"/>
  <c r="PN72" i="34"/>
  <c r="NB72" i="34"/>
  <c r="KP72" i="34"/>
  <c r="PM72" i="34"/>
  <c r="MS72" i="34"/>
  <c r="PE61" i="34"/>
  <c r="NX72" i="34"/>
  <c r="KN72" i="34"/>
  <c r="NG72" i="34"/>
  <c r="MI58" i="34"/>
  <c r="LR72" i="34"/>
  <c r="NU72" i="34"/>
  <c r="PX72" i="34"/>
  <c r="OB54" i="34"/>
  <c r="PG72" i="34"/>
  <c r="LV53" i="34"/>
  <c r="MI52" i="34"/>
  <c r="MT72" i="34"/>
  <c r="PE72" i="34"/>
  <c r="MK72" i="34"/>
  <c r="NH72" i="34"/>
  <c r="MY72" i="34"/>
  <c r="LJ72" i="34"/>
  <c r="NM72" i="34"/>
  <c r="PP72" i="34"/>
  <c r="LX54" i="34"/>
  <c r="OY72" i="34"/>
  <c r="MT52" i="34"/>
  <c r="PG54" i="34"/>
  <c r="OX72" i="34"/>
  <c r="ML72" i="34"/>
  <c r="OW72" i="34"/>
  <c r="MC72" i="34"/>
  <c r="MZ72" i="34"/>
  <c r="LD61" i="34"/>
  <c r="MQ72" i="34"/>
  <c r="PK57" i="34"/>
  <c r="PB54" i="34"/>
  <c r="LQ72" i="34"/>
  <c r="NT72" i="34"/>
  <c r="LH54" i="34"/>
  <c r="OQ72" i="34"/>
  <c r="KO52" i="34"/>
  <c r="PL63" i="34"/>
  <c r="ON63" i="34"/>
  <c r="MD63" i="34"/>
  <c r="NB63" i="34"/>
  <c r="NZ63" i="34"/>
  <c r="OX63" i="34"/>
  <c r="PV63" i="34"/>
  <c r="MU63" i="34"/>
  <c r="PG63" i="34"/>
  <c r="MF63" i="34"/>
  <c r="OR63" i="34"/>
  <c r="LY63" i="34"/>
  <c r="OK63" i="34"/>
  <c r="LJ63" i="34"/>
  <c r="NV63" i="34"/>
  <c r="KM63" i="34"/>
  <c r="MY63" i="34"/>
  <c r="PK63" i="34"/>
  <c r="PJ52" i="34"/>
  <c r="MF52" i="34"/>
  <c r="LE54" i="34"/>
  <c r="LC54" i="34"/>
  <c r="NQ54" i="34"/>
  <c r="PO54" i="34"/>
  <c r="OA54" i="34"/>
  <c r="MN54" i="34"/>
  <c r="OZ54" i="34"/>
  <c r="MO54" i="34"/>
  <c r="PA54" i="34"/>
  <c r="MX54" i="34"/>
  <c r="PJ54" i="34"/>
  <c r="MI54" i="34"/>
  <c r="OU54" i="34"/>
  <c r="LL54" i="34"/>
  <c r="NX54" i="34"/>
  <c r="ML54" i="34"/>
  <c r="OX54" i="34"/>
  <c r="PU54" i="34"/>
  <c r="LK54" i="34"/>
  <c r="NY54" i="34"/>
  <c r="OY54" i="34"/>
  <c r="MV54" i="34"/>
  <c r="PH54" i="34"/>
  <c r="MW54" i="34"/>
  <c r="PI54" i="34"/>
  <c r="NF54" i="34"/>
  <c r="PR54" i="34"/>
  <c r="MQ54" i="34"/>
  <c r="PC54" i="34"/>
  <c r="LT54" i="34"/>
  <c r="OF54" i="34"/>
  <c r="MT54" i="34"/>
  <c r="PF54" i="34"/>
  <c r="LS54" i="34"/>
  <c r="KO54" i="34"/>
  <c r="OG54" i="34"/>
  <c r="LG54" i="34"/>
  <c r="ND54" i="34"/>
  <c r="PP54" i="34"/>
  <c r="KS54" i="34"/>
  <c r="NE54" i="34"/>
  <c r="PQ54" i="34"/>
  <c r="LB54" i="34"/>
  <c r="NN54" i="34"/>
  <c r="PZ54" i="34"/>
  <c r="MY54" i="34"/>
  <c r="PK54" i="34"/>
  <c r="KW54" i="34"/>
  <c r="OO54" i="34"/>
  <c r="ME54" i="34"/>
  <c r="KR54" i="34"/>
  <c r="NL54" i="34"/>
  <c r="PX54" i="34"/>
  <c r="LA54" i="34"/>
  <c r="NM54" i="34"/>
  <c r="PY54" i="34"/>
  <c r="LJ54" i="34"/>
  <c r="NV54" i="34"/>
  <c r="NG54" i="34"/>
  <c r="PS54" i="34"/>
  <c r="MJ54" i="34"/>
  <c r="OV54" i="34"/>
  <c r="KX54" i="34"/>
  <c r="NJ54" i="34"/>
  <c r="PV54" i="34"/>
  <c r="KQ54" i="34"/>
  <c r="LM54" i="34"/>
  <c r="OW54" i="34"/>
  <c r="KY54" i="34"/>
  <c r="MK54" i="34"/>
  <c r="NC54" i="34"/>
  <c r="KZ54" i="34"/>
  <c r="NT54" i="34"/>
  <c r="LI54" i="34"/>
  <c r="NU54" i="34"/>
  <c r="LR54" i="34"/>
  <c r="OD54" i="34"/>
  <c r="NO54" i="34"/>
  <c r="MR54" i="34"/>
  <c r="PD54" i="34"/>
  <c r="LF54" i="34"/>
  <c r="NR54" i="34"/>
  <c r="MU76" i="34"/>
  <c r="NK54" i="34"/>
  <c r="NJ52" i="34"/>
  <c r="MS54" i="34"/>
  <c r="LL52" i="34"/>
  <c r="OM52" i="34"/>
  <c r="LB52" i="34"/>
  <c r="LF63" i="34"/>
  <c r="MS63" i="34"/>
  <c r="NA63" i="34"/>
  <c r="NY63" i="34"/>
  <c r="OW63" i="34"/>
  <c r="PU63" i="34"/>
  <c r="KQ63" i="34"/>
  <c r="NC63" i="34"/>
  <c r="PO63" i="34"/>
  <c r="MN63" i="34"/>
  <c r="OZ63" i="34"/>
  <c r="MG63" i="34"/>
  <c r="OS63" i="34"/>
  <c r="LR63" i="34"/>
  <c r="OD63" i="34"/>
  <c r="KU63" i="34"/>
  <c r="NG63" i="34"/>
  <c r="PS63" i="34"/>
  <c r="PZ77" i="34"/>
  <c r="LJ76" i="34"/>
  <c r="PB52" i="34"/>
  <c r="LQ54" i="34"/>
  <c r="MF54" i="34"/>
  <c r="MW52" i="34"/>
  <c r="PW54" i="34"/>
  <c r="LW54" i="34"/>
  <c r="NB52" i="34"/>
  <c r="MC52" i="34"/>
  <c r="LD52" i="34"/>
  <c r="MQ52" i="34"/>
  <c r="KY52" i="34"/>
  <c r="LA52" i="34"/>
  <c r="LR52" i="34"/>
  <c r="KM52" i="34"/>
  <c r="MY52" i="34"/>
  <c r="PK52" i="34"/>
  <c r="MB52" i="34"/>
  <c r="ON52" i="34"/>
  <c r="OG52" i="34"/>
  <c r="KX52" i="34"/>
  <c r="NR52" i="34"/>
  <c r="LW52" i="34"/>
  <c r="LM52" i="34"/>
  <c r="OQ52" i="34"/>
  <c r="KR52" i="34"/>
  <c r="NY52" i="34"/>
  <c r="MV52" i="34"/>
  <c r="PH52" i="34"/>
  <c r="PQ52" i="34"/>
  <c r="NF52" i="34"/>
  <c r="PR52" i="34"/>
  <c r="ME52" i="34"/>
  <c r="LQ52" i="34"/>
  <c r="LZ52" i="34"/>
  <c r="KU52" i="34"/>
  <c r="NG52" i="34"/>
  <c r="PS52" i="34"/>
  <c r="MJ52" i="34"/>
  <c r="OV52" i="34"/>
  <c r="LF52" i="34"/>
  <c r="NZ52" i="34"/>
  <c r="NC52" i="34"/>
  <c r="NI52" i="34"/>
  <c r="PW52" i="34"/>
  <c r="KZ52" i="34"/>
  <c r="PE52" i="34"/>
  <c r="ND52" i="34"/>
  <c r="PP52" i="34"/>
  <c r="NM52" i="34"/>
  <c r="PY52" i="34"/>
  <c r="NN52" i="34"/>
  <c r="PZ52" i="34"/>
  <c r="NS52" i="34"/>
  <c r="MG52" i="34"/>
  <c r="MH52" i="34"/>
  <c r="LC52" i="34"/>
  <c r="NO52" i="34"/>
  <c r="MR52" i="34"/>
  <c r="PD52" i="34"/>
  <c r="LN52" i="34"/>
  <c r="OP52" i="34"/>
  <c r="LU52" i="34"/>
  <c r="OI52" i="34"/>
  <c r="OO52" i="34"/>
  <c r="LH52" i="34"/>
  <c r="LO52" i="34"/>
  <c r="KS52" i="34"/>
  <c r="NL52" i="34"/>
  <c r="PX52" i="34"/>
  <c r="NU52" i="34"/>
  <c r="NV52" i="34"/>
  <c r="LV52" i="34"/>
  <c r="OY52" i="34"/>
  <c r="MO52" i="34"/>
  <c r="MP52" i="34"/>
  <c r="LK52" i="34"/>
  <c r="NW52" i="34"/>
  <c r="KN52" i="34"/>
  <c r="MZ52" i="34"/>
  <c r="PL52" i="34"/>
  <c r="MD52" i="34"/>
  <c r="OX52" i="34"/>
  <c r="NQ52" i="34"/>
  <c r="PO52" i="34"/>
  <c r="PU52" i="34"/>
  <c r="LP52" i="34"/>
  <c r="MU52" i="34"/>
  <c r="LI52" i="34"/>
  <c r="NT52" i="34"/>
  <c r="OC52" i="34"/>
  <c r="OD52" i="34"/>
  <c r="OH52" i="34"/>
  <c r="NE52" i="34"/>
  <c r="MX52" i="34"/>
  <c r="LS52" i="34"/>
  <c r="OE52" i="34"/>
  <c r="KV52" i="34"/>
  <c r="NH52" i="34"/>
  <c r="PT52" i="34"/>
  <c r="ML52" i="34"/>
  <c r="PF52" i="34"/>
  <c r="OW52" i="34"/>
  <c r="LX52" i="34"/>
  <c r="OA52" i="34"/>
  <c r="LY52" i="34"/>
  <c r="OB52" i="34"/>
  <c r="OK52" i="34"/>
  <c r="OL52" i="34"/>
  <c r="KP52" i="34"/>
  <c r="MA52" i="34"/>
  <c r="L106" i="34"/>
  <c r="NR63" i="34"/>
  <c r="MT63" i="34"/>
  <c r="PM63" i="34"/>
  <c r="KV63" i="34"/>
  <c r="LT63" i="34"/>
  <c r="MR63" i="34"/>
  <c r="LO63" i="34"/>
  <c r="OA63" i="34"/>
  <c r="KZ63" i="34"/>
  <c r="NL63" i="34"/>
  <c r="PX63" i="34"/>
  <c r="NE63" i="34"/>
  <c r="PQ63" i="34"/>
  <c r="MP63" i="34"/>
  <c r="PB63" i="34"/>
  <c r="LS63" i="34"/>
  <c r="OE63" i="34"/>
  <c r="OL54" i="34"/>
  <c r="KS76" i="34"/>
  <c r="OS54" i="34"/>
  <c r="OS52" i="34"/>
  <c r="OZ52" i="34"/>
  <c r="PG52" i="34"/>
  <c r="MM52" i="34"/>
  <c r="MC54" i="34"/>
  <c r="PM54" i="34"/>
  <c r="OF52" i="34"/>
  <c r="MS52" i="34"/>
  <c r="MM54" i="34"/>
  <c r="PF63" i="34"/>
  <c r="MB63" i="34"/>
  <c r="PE63" i="34"/>
  <c r="KP63" i="34"/>
  <c r="LN63" i="34"/>
  <c r="ML63" i="34"/>
  <c r="NJ63" i="34"/>
  <c r="LW63" i="34"/>
  <c r="OI63" i="34"/>
  <c r="LH63" i="34"/>
  <c r="NT63" i="34"/>
  <c r="KS63" i="34"/>
  <c r="NM63" i="34"/>
  <c r="PY63" i="34"/>
  <c r="MX63" i="34"/>
  <c r="PJ63" i="34"/>
  <c r="MA63" i="34"/>
  <c r="OM63" i="34"/>
  <c r="PJ77" i="34"/>
  <c r="OD77" i="34"/>
  <c r="MX77" i="34"/>
  <c r="LR77" i="34"/>
  <c r="NN77" i="34"/>
  <c r="LC77" i="34"/>
  <c r="NO77" i="34"/>
  <c r="MB77" i="34"/>
  <c r="ON77" i="34"/>
  <c r="LU77" i="34"/>
  <c r="OG77" i="34"/>
  <c r="KT77" i="34"/>
  <c r="NV77" i="34"/>
  <c r="LK77" i="34"/>
  <c r="NW77" i="34"/>
  <c r="MJ77" i="34"/>
  <c r="OV77" i="34"/>
  <c r="MC77" i="34"/>
  <c r="OO77" i="34"/>
  <c r="LV77" i="34"/>
  <c r="OH77" i="34"/>
  <c r="LW77" i="34"/>
  <c r="OI77" i="34"/>
  <c r="LH77" i="34"/>
  <c r="NT77" i="34"/>
  <c r="KS77" i="34"/>
  <c r="NE77" i="34"/>
  <c r="PQ77" i="34"/>
  <c r="LB77" i="34"/>
  <c r="OL77" i="34"/>
  <c r="LJ77" i="34"/>
  <c r="OT77" i="34"/>
  <c r="MA77" i="34"/>
  <c r="OM77" i="34"/>
  <c r="KN77" i="34"/>
  <c r="MZ77" i="34"/>
  <c r="PL77" i="34"/>
  <c r="MS77" i="34"/>
  <c r="ML77" i="34"/>
  <c r="OX77" i="34"/>
  <c r="MM77" i="34"/>
  <c r="OY77" i="34"/>
  <c r="LX77" i="34"/>
  <c r="OJ77" i="34"/>
  <c r="LI77" i="34"/>
  <c r="NU77" i="34"/>
  <c r="OU77" i="34"/>
  <c r="LZ77" i="34"/>
  <c r="PB77" i="34"/>
  <c r="MI77" i="34"/>
  <c r="KV77" i="34"/>
  <c r="NH77" i="34"/>
  <c r="PT77" i="34"/>
  <c r="KO77" i="34"/>
  <c r="NA77" i="34"/>
  <c r="LC76" i="34"/>
  <c r="OM54" i="34"/>
  <c r="MH77" i="34"/>
  <c r="MP54" i="34"/>
  <c r="OK54" i="34"/>
  <c r="OR52" i="34"/>
  <c r="MK52" i="34"/>
  <c r="LG52" i="34"/>
  <c r="PE54" i="34"/>
  <c r="NX52" i="34"/>
  <c r="LE52" i="34"/>
  <c r="LU54" i="34"/>
  <c r="LQ63" i="34"/>
  <c r="LE63" i="34"/>
  <c r="OH63" i="34"/>
  <c r="KO63" i="34"/>
  <c r="LM63" i="34"/>
  <c r="MK63" i="34"/>
  <c r="NI63" i="34"/>
  <c r="OG63" i="34"/>
  <c r="ME63" i="34"/>
  <c r="OQ63" i="34"/>
  <c r="LP63" i="34"/>
  <c r="OB63" i="34"/>
  <c r="LA63" i="34"/>
  <c r="NU63" i="34"/>
  <c r="KT63" i="34"/>
  <c r="NF63" i="34"/>
  <c r="PR63" i="34"/>
  <c r="MI63" i="34"/>
  <c r="OU63" i="34"/>
  <c r="NN76" i="34"/>
  <c r="MX76" i="34"/>
  <c r="MH76" i="34"/>
  <c r="LR76" i="34"/>
  <c r="NC76" i="34"/>
  <c r="MM76" i="34"/>
  <c r="LW76" i="34"/>
  <c r="LG76" i="34"/>
  <c r="KQ76" i="34"/>
  <c r="PZ76" i="34"/>
  <c r="OT76" i="34"/>
  <c r="NS76" i="34"/>
  <c r="KZ76" i="34"/>
  <c r="LZ76" i="34"/>
  <c r="PR76" i="34"/>
  <c r="MA76" i="34"/>
  <c r="OM76" i="34"/>
  <c r="MR76" i="34"/>
  <c r="PD76" i="34"/>
  <c r="MK76" i="34"/>
  <c r="OW76" i="34"/>
  <c r="MD76" i="34"/>
  <c r="MP76" i="34"/>
  <c r="MI76" i="34"/>
  <c r="OU76" i="34"/>
  <c r="KN76" i="34"/>
  <c r="MZ76" i="34"/>
  <c r="PL76" i="34"/>
  <c r="MS76" i="34"/>
  <c r="PE76" i="34"/>
  <c r="ML76" i="34"/>
  <c r="OX76" i="34"/>
  <c r="OY76" i="34"/>
  <c r="LX76" i="34"/>
  <c r="OJ76" i="34"/>
  <c r="LI76" i="34"/>
  <c r="NU76" i="34"/>
  <c r="KY76" i="34"/>
  <c r="NF76" i="34"/>
  <c r="LO76" i="34"/>
  <c r="NV76" i="34"/>
  <c r="KM76" i="34"/>
  <c r="MY76" i="34"/>
  <c r="PK76" i="34"/>
  <c r="LD76" i="34"/>
  <c r="NP76" i="34"/>
  <c r="KW76" i="34"/>
  <c r="NI76" i="34"/>
  <c r="PU76" i="34"/>
  <c r="KP76" i="34"/>
  <c r="NB76" i="34"/>
  <c r="PN76" i="34"/>
  <c r="PO76" i="34"/>
  <c r="MN76" i="34"/>
  <c r="OZ76" i="34"/>
  <c r="LY76" i="34"/>
  <c r="OK76" i="34"/>
  <c r="ME76" i="34"/>
  <c r="OD76" i="34"/>
  <c r="KU76" i="34"/>
  <c r="NG76" i="34"/>
  <c r="PS76" i="34"/>
  <c r="LL76" i="34"/>
  <c r="NX76" i="34"/>
  <c r="LE76" i="34"/>
  <c r="NQ76" i="34"/>
  <c r="KX76" i="34"/>
  <c r="OE54" i="34"/>
  <c r="PJ76" i="34"/>
  <c r="MH54" i="34"/>
  <c r="OC54" i="34"/>
  <c r="OR54" i="34"/>
  <c r="OJ52" i="34"/>
  <c r="KW52" i="34"/>
  <c r="OA76" i="34"/>
  <c r="PV52" i="34"/>
  <c r="NI54" i="34"/>
  <c r="NP52" i="34"/>
  <c r="PC52" i="34"/>
  <c r="KT54" i="34"/>
  <c r="PM52" i="34"/>
  <c r="NP63" i="34"/>
  <c r="MC63" i="34"/>
  <c r="LL63" i="34"/>
  <c r="MJ63" i="34"/>
  <c r="NH63" i="34"/>
  <c r="OF63" i="34"/>
  <c r="PD63" i="34"/>
  <c r="MM63" i="34"/>
  <c r="OY63" i="34"/>
  <c r="LX63" i="34"/>
  <c r="OJ63" i="34"/>
  <c r="LI63" i="34"/>
  <c r="OC63" i="34"/>
  <c r="LB63" i="34"/>
  <c r="NN63" i="34"/>
  <c r="PZ63" i="34"/>
  <c r="MQ63" i="34"/>
  <c r="PC63" i="34"/>
  <c r="NH54" i="34"/>
  <c r="NG77" i="34"/>
  <c r="OE76" i="34"/>
  <c r="NW54" i="34"/>
  <c r="PB76" i="34"/>
  <c r="LZ54" i="34"/>
  <c r="MG54" i="34"/>
  <c r="OJ54" i="34"/>
  <c r="MN52" i="34"/>
  <c r="LP54" i="34"/>
  <c r="NK76" i="34"/>
  <c r="OI54" i="34"/>
  <c r="PN52" i="34"/>
  <c r="NA54" i="34"/>
  <c r="LT52" i="34"/>
  <c r="OU52" i="34"/>
  <c r="LJ52" i="34"/>
  <c r="NA52" i="34"/>
  <c r="PZ72" i="34"/>
  <c r="NN72" i="34"/>
  <c r="LB72" i="34"/>
  <c r="PQ72" i="34"/>
  <c r="NE72" i="34"/>
  <c r="KS72" i="34"/>
  <c r="PH72" i="34"/>
  <c r="MV72" i="34"/>
  <c r="OA72" i="34"/>
  <c r="LO72" i="34"/>
  <c r="MY53" i="34"/>
  <c r="NY72" i="34"/>
  <c r="LM72" i="34"/>
  <c r="OF72" i="34"/>
  <c r="LT72" i="34"/>
  <c r="OU72" i="34"/>
  <c r="MI72" i="34"/>
  <c r="OU58" i="34"/>
  <c r="PR72" i="34"/>
  <c r="NF72" i="34"/>
  <c r="KT72" i="34"/>
  <c r="PI72" i="34"/>
  <c r="MW72" i="34"/>
  <c r="OZ72" i="34"/>
  <c r="MN72" i="34"/>
  <c r="NS72" i="34"/>
  <c r="LG72" i="34"/>
  <c r="LK53" i="34"/>
  <c r="PJ72" i="34"/>
  <c r="MX72" i="34"/>
  <c r="PA72" i="34"/>
  <c r="MO72" i="34"/>
  <c r="OR72" i="34"/>
  <c r="MF72" i="34"/>
  <c r="NK72" i="34"/>
  <c r="KY72" i="34"/>
  <c r="OI72" i="34"/>
  <c r="NP72" i="34"/>
  <c r="LD72" i="34"/>
  <c r="OE72" i="34"/>
  <c r="LS72" i="34"/>
  <c r="LK58" i="34"/>
  <c r="PB72" i="34"/>
  <c r="MP72" i="34"/>
  <c r="OS72" i="34"/>
  <c r="MG72" i="34"/>
  <c r="OJ72" i="34"/>
  <c r="LX72" i="34"/>
  <c r="PW72" i="34"/>
  <c r="NC72" i="34"/>
  <c r="KQ72" i="34"/>
  <c r="NB58" i="34"/>
  <c r="KW53" i="34"/>
  <c r="NW72" i="34"/>
  <c r="LK72" i="34"/>
  <c r="OT72" i="34"/>
  <c r="MH72" i="34"/>
  <c r="OK72" i="34"/>
  <c r="LY72" i="34"/>
  <c r="OB72" i="34"/>
  <c r="LP72" i="34"/>
  <c r="PO72" i="34"/>
  <c r="OH53" i="34"/>
  <c r="PT67" i="34"/>
  <c r="PL67" i="34"/>
  <c r="PD67" i="34"/>
  <c r="OV67" i="34"/>
  <c r="ON67" i="34"/>
  <c r="OF67" i="34"/>
  <c r="PZ67" i="34"/>
  <c r="PQ67" i="34"/>
  <c r="PH67" i="34"/>
  <c r="OY67" i="34"/>
  <c r="OP67" i="34"/>
  <c r="OG67" i="34"/>
  <c r="NX67" i="34"/>
  <c r="NP67" i="34"/>
  <c r="NH67" i="34"/>
  <c r="MZ67" i="34"/>
  <c r="MR67" i="34"/>
  <c r="MJ67" i="34"/>
  <c r="MB67" i="34"/>
  <c r="LT67" i="34"/>
  <c r="LL67" i="34"/>
  <c r="LD67" i="34"/>
  <c r="KV67" i="34"/>
  <c r="PX67" i="34"/>
  <c r="PO67" i="34"/>
  <c r="PF67" i="34"/>
  <c r="OW67" i="34"/>
  <c r="OM67" i="34"/>
  <c r="OD67" i="34"/>
  <c r="NV67" i="34"/>
  <c r="NN67" i="34"/>
  <c r="NF67" i="34"/>
  <c r="MX67" i="34"/>
  <c r="MP67" i="34"/>
  <c r="MH67" i="34"/>
  <c r="LZ67" i="34"/>
  <c r="LJ67" i="34"/>
  <c r="LB67" i="34"/>
  <c r="KT67" i="34"/>
  <c r="PV67" i="34"/>
  <c r="PM67" i="34"/>
  <c r="PC67" i="34"/>
  <c r="OT67" i="34"/>
  <c r="OK67" i="34"/>
  <c r="OB67" i="34"/>
  <c r="NT67" i="34"/>
  <c r="NL67" i="34"/>
  <c r="ND67" i="34"/>
  <c r="MV67" i="34"/>
  <c r="MN67" i="34"/>
  <c r="MF67" i="34"/>
  <c r="LX67" i="34"/>
  <c r="LP67" i="34"/>
  <c r="LH67" i="34"/>
  <c r="KZ67" i="34"/>
  <c r="KR67" i="34"/>
  <c r="PS67" i="34"/>
  <c r="PE67" i="34"/>
  <c r="OQ67" i="34"/>
  <c r="OA67" i="34"/>
  <c r="NO67" i="34"/>
  <c r="NB67" i="34"/>
  <c r="MO67" i="34"/>
  <c r="MC67" i="34"/>
  <c r="LO67" i="34"/>
  <c r="LC67" i="34"/>
  <c r="KP67" i="34"/>
  <c r="PR67" i="34"/>
  <c r="PB67" i="34"/>
  <c r="OO67" i="34"/>
  <c r="NZ67" i="34"/>
  <c r="NM67" i="34"/>
  <c r="NA67" i="34"/>
  <c r="MM67" i="34"/>
  <c r="MA67" i="34"/>
  <c r="LN67" i="34"/>
  <c r="LA67" i="34"/>
  <c r="KO67" i="34"/>
  <c r="PP67" i="34"/>
  <c r="PA67" i="34"/>
  <c r="OL67" i="34"/>
  <c r="NY67" i="34"/>
  <c r="NK67" i="34"/>
  <c r="MY67" i="34"/>
  <c r="ML67" i="34"/>
  <c r="LY67" i="34"/>
  <c r="LM67" i="34"/>
  <c r="KY67" i="34"/>
  <c r="KN67" i="34"/>
  <c r="PN67" i="34"/>
  <c r="OZ67" i="34"/>
  <c r="OJ67" i="34"/>
  <c r="NW67" i="34"/>
  <c r="NJ67" i="34"/>
  <c r="MW67" i="34"/>
  <c r="MK67" i="34"/>
  <c r="LW67" i="34"/>
  <c r="LK67" i="34"/>
  <c r="KX67" i="34"/>
  <c r="KM67" i="34"/>
  <c r="PK67" i="34"/>
  <c r="OX67" i="34"/>
  <c r="OI67" i="34"/>
  <c r="NU67" i="34"/>
  <c r="NI67" i="34"/>
  <c r="MU67" i="34"/>
  <c r="MI67" i="34"/>
  <c r="LV67" i="34"/>
  <c r="LI67" i="34"/>
  <c r="KW67" i="34"/>
  <c r="PG67" i="34"/>
  <c r="NR67" i="34"/>
  <c r="MG67" i="34"/>
  <c r="LE67" i="34"/>
  <c r="OU67" i="34"/>
  <c r="NQ67" i="34"/>
  <c r="ME67" i="34"/>
  <c r="KU67" i="34"/>
  <c r="OS67" i="34"/>
  <c r="NG67" i="34"/>
  <c r="MD67" i="34"/>
  <c r="KS67" i="34"/>
  <c r="PY67" i="34"/>
  <c r="OR67" i="34"/>
  <c r="NE67" i="34"/>
  <c r="LU67" i="34"/>
  <c r="KQ67" i="34"/>
  <c r="PW67" i="34"/>
  <c r="OH67" i="34"/>
  <c r="NC67" i="34"/>
  <c r="MT67" i="34"/>
  <c r="MS67" i="34"/>
  <c r="PU67" i="34"/>
  <c r="MQ67" i="34"/>
  <c r="PJ67" i="34"/>
  <c r="PI67" i="34"/>
  <c r="LG67" i="34"/>
  <c r="NS67" i="34"/>
  <c r="LF67" i="34"/>
  <c r="OE67" i="34"/>
  <c r="OC67" i="34"/>
  <c r="PW65" i="34"/>
  <c r="PO65" i="34"/>
  <c r="PG65" i="34"/>
  <c r="OY65" i="34"/>
  <c r="OQ65" i="34"/>
  <c r="OI65" i="34"/>
  <c r="OA65" i="34"/>
  <c r="NS65" i="34"/>
  <c r="NK65" i="34"/>
  <c r="NC65" i="34"/>
  <c r="MU65" i="34"/>
  <c r="MM65" i="34"/>
  <c r="ME65" i="34"/>
  <c r="LW65" i="34"/>
  <c r="LO65" i="34"/>
  <c r="LG65" i="34"/>
  <c r="KY65" i="34"/>
  <c r="KQ65" i="34"/>
  <c r="PV65" i="34"/>
  <c r="PN65" i="34"/>
  <c r="PF65" i="34"/>
  <c r="OX65" i="34"/>
  <c r="OP65" i="34"/>
  <c r="OH65" i="34"/>
  <c r="NZ65" i="34"/>
  <c r="NR65" i="34"/>
  <c r="NJ65" i="34"/>
  <c r="NB65" i="34"/>
  <c r="MT65" i="34"/>
  <c r="ML65" i="34"/>
  <c r="PT65" i="34"/>
  <c r="PL65" i="34"/>
  <c r="PD65" i="34"/>
  <c r="OV65" i="34"/>
  <c r="ON65" i="34"/>
  <c r="OF65" i="34"/>
  <c r="NX65" i="34"/>
  <c r="NP65" i="34"/>
  <c r="NH65" i="34"/>
  <c r="MZ65" i="34"/>
  <c r="MR65" i="34"/>
  <c r="MJ65" i="34"/>
  <c r="PS65" i="34"/>
  <c r="PK65" i="34"/>
  <c r="PC65" i="34"/>
  <c r="OU65" i="34"/>
  <c r="OM65" i="34"/>
  <c r="OE65" i="34"/>
  <c r="PQ65" i="34"/>
  <c r="PA65" i="34"/>
  <c r="OK65" i="34"/>
  <c r="NV65" i="34"/>
  <c r="NI65" i="34"/>
  <c r="MW65" i="34"/>
  <c r="MI65" i="34"/>
  <c r="LZ65" i="34"/>
  <c r="LQ65" i="34"/>
  <c r="LH65" i="34"/>
  <c r="KX65" i="34"/>
  <c r="KO65" i="34"/>
  <c r="PP65" i="34"/>
  <c r="OZ65" i="34"/>
  <c r="OJ65" i="34"/>
  <c r="NU65" i="34"/>
  <c r="NG65" i="34"/>
  <c r="MV65" i="34"/>
  <c r="MH65" i="34"/>
  <c r="LY65" i="34"/>
  <c r="LP65" i="34"/>
  <c r="LF65" i="34"/>
  <c r="KW65" i="34"/>
  <c r="KN65" i="34"/>
  <c r="PM65" i="34"/>
  <c r="OW65" i="34"/>
  <c r="OG65" i="34"/>
  <c r="NT65" i="34"/>
  <c r="NF65" i="34"/>
  <c r="MS65" i="34"/>
  <c r="MG65" i="34"/>
  <c r="LX65" i="34"/>
  <c r="LN65" i="34"/>
  <c r="LE65" i="34"/>
  <c r="KV65" i="34"/>
  <c r="KM65" i="34"/>
  <c r="PZ65" i="34"/>
  <c r="PJ65" i="34"/>
  <c r="OT65" i="34"/>
  <c r="OD65" i="34"/>
  <c r="NQ65" i="34"/>
  <c r="NE65" i="34"/>
  <c r="MQ65" i="34"/>
  <c r="MF65" i="34"/>
  <c r="LV65" i="34"/>
  <c r="LM65" i="34"/>
  <c r="LD65" i="34"/>
  <c r="PY65" i="34"/>
  <c r="PI65" i="34"/>
  <c r="OS65" i="34"/>
  <c r="OC65" i="34"/>
  <c r="NO65" i="34"/>
  <c r="ND65" i="34"/>
  <c r="MP65" i="34"/>
  <c r="MD65" i="34"/>
  <c r="LU65" i="34"/>
  <c r="LC65" i="34"/>
  <c r="KT65" i="34"/>
  <c r="PR65" i="34"/>
  <c r="NY65" i="34"/>
  <c r="MO65" i="34"/>
  <c r="LR65" i="34"/>
  <c r="KR65" i="34"/>
  <c r="PH65" i="34"/>
  <c r="NW65" i="34"/>
  <c r="MN65" i="34"/>
  <c r="LK65" i="34"/>
  <c r="KP65" i="34"/>
  <c r="PE65" i="34"/>
  <c r="NN65" i="34"/>
  <c r="MK65" i="34"/>
  <c r="LJ65" i="34"/>
  <c r="PB65" i="34"/>
  <c r="NM65" i="34"/>
  <c r="MC65" i="34"/>
  <c r="LI65" i="34"/>
  <c r="OR65" i="34"/>
  <c r="NL65" i="34"/>
  <c r="MB65" i="34"/>
  <c r="NA65" i="34"/>
  <c r="KS65" i="34"/>
  <c r="MY65" i="34"/>
  <c r="MX65" i="34"/>
  <c r="PX65" i="34"/>
  <c r="MA65" i="34"/>
  <c r="PU65" i="34"/>
  <c r="OO65" i="34"/>
  <c r="LS65" i="34"/>
  <c r="OL65" i="34"/>
  <c r="LA65" i="34"/>
  <c r="OB65" i="34"/>
  <c r="KZ65" i="34"/>
  <c r="PT68" i="34"/>
  <c r="PL68" i="34"/>
  <c r="PD68" i="34"/>
  <c r="OV68" i="34"/>
  <c r="ON68" i="34"/>
  <c r="OF68" i="34"/>
  <c r="NX68" i="34"/>
  <c r="NP68" i="34"/>
  <c r="NH68" i="34"/>
  <c r="MZ68" i="34"/>
  <c r="MR68" i="34"/>
  <c r="MJ68" i="34"/>
  <c r="MB68" i="34"/>
  <c r="LT68" i="34"/>
  <c r="LL68" i="34"/>
  <c r="LD68" i="34"/>
  <c r="KV68" i="34"/>
  <c r="KN68" i="34"/>
  <c r="PS68" i="34"/>
  <c r="PJ68" i="34"/>
  <c r="PA68" i="34"/>
  <c r="OR68" i="34"/>
  <c r="OI68" i="34"/>
  <c r="NZ68" i="34"/>
  <c r="NQ68" i="34"/>
  <c r="NG68" i="34"/>
  <c r="MX68" i="34"/>
  <c r="MO68" i="34"/>
  <c r="MF68" i="34"/>
  <c r="LW68" i="34"/>
  <c r="LN68" i="34"/>
  <c r="LE68" i="34"/>
  <c r="KU68" i="34"/>
  <c r="PZ68" i="34"/>
  <c r="PQ68" i="34"/>
  <c r="PH68" i="34"/>
  <c r="OY68" i="34"/>
  <c r="OP68" i="34"/>
  <c r="OG68" i="34"/>
  <c r="NW68" i="34"/>
  <c r="NN68" i="34"/>
  <c r="NE68" i="34"/>
  <c r="MV68" i="34"/>
  <c r="MM68" i="34"/>
  <c r="MD68" i="34"/>
  <c r="LK68" i="34"/>
  <c r="LB68" i="34"/>
  <c r="KS68" i="34"/>
  <c r="PX68" i="34"/>
  <c r="PO68" i="34"/>
  <c r="PF68" i="34"/>
  <c r="OW68" i="34"/>
  <c r="OM68" i="34"/>
  <c r="OD68" i="34"/>
  <c r="NU68" i="34"/>
  <c r="NL68" i="34"/>
  <c r="NC68" i="34"/>
  <c r="MT68" i="34"/>
  <c r="MK68" i="34"/>
  <c r="MA68" i="34"/>
  <c r="LI68" i="34"/>
  <c r="KZ68" i="34"/>
  <c r="KQ68" i="34"/>
  <c r="PV68" i="34"/>
  <c r="PG68" i="34"/>
  <c r="OS68" i="34"/>
  <c r="OC68" i="34"/>
  <c r="NO68" i="34"/>
  <c r="NA68" i="34"/>
  <c r="ML68" i="34"/>
  <c r="LX68" i="34"/>
  <c r="LH68" i="34"/>
  <c r="KT68" i="34"/>
  <c r="PU68" i="34"/>
  <c r="PE68" i="34"/>
  <c r="OQ68" i="34"/>
  <c r="OB68" i="34"/>
  <c r="NM68" i="34"/>
  <c r="MY68" i="34"/>
  <c r="MI68" i="34"/>
  <c r="LV68" i="34"/>
  <c r="LG68" i="34"/>
  <c r="KR68" i="34"/>
  <c r="PR68" i="34"/>
  <c r="PC68" i="34"/>
  <c r="OO68" i="34"/>
  <c r="OA68" i="34"/>
  <c r="NK68" i="34"/>
  <c r="MW68" i="34"/>
  <c r="MH68" i="34"/>
  <c r="LF68" i="34"/>
  <c r="KP68" i="34"/>
  <c r="PP68" i="34"/>
  <c r="PB68" i="34"/>
  <c r="OL68" i="34"/>
  <c r="NY68" i="34"/>
  <c r="NJ68" i="34"/>
  <c r="MU68" i="34"/>
  <c r="MG68" i="34"/>
  <c r="LC68" i="34"/>
  <c r="KO68" i="34"/>
  <c r="PN68" i="34"/>
  <c r="OZ68" i="34"/>
  <c r="OK68" i="34"/>
  <c r="NV68" i="34"/>
  <c r="NI68" i="34"/>
  <c r="MS68" i="34"/>
  <c r="ME68" i="34"/>
  <c r="LP68" i="34"/>
  <c r="LA68" i="34"/>
  <c r="KM68" i="34"/>
  <c r="PM68" i="34"/>
  <c r="OE68" i="34"/>
  <c r="MP68" i="34"/>
  <c r="KY68" i="34"/>
  <c r="PK68" i="34"/>
  <c r="NT68" i="34"/>
  <c r="MN68" i="34"/>
  <c r="KX68" i="34"/>
  <c r="PI68" i="34"/>
  <c r="NS68" i="34"/>
  <c r="MC68" i="34"/>
  <c r="OX68" i="34"/>
  <c r="NR68" i="34"/>
  <c r="LZ68" i="34"/>
  <c r="OU68" i="34"/>
  <c r="NF68" i="34"/>
  <c r="LY68" i="34"/>
  <c r="PW68" i="34"/>
  <c r="LM68" i="34"/>
  <c r="OT68" i="34"/>
  <c r="LJ68" i="34"/>
  <c r="OJ68" i="34"/>
  <c r="OH68" i="34"/>
  <c r="ND68" i="34"/>
  <c r="PY68" i="34"/>
  <c r="NB68" i="34"/>
  <c r="MQ68" i="34"/>
  <c r="LO68" i="34"/>
  <c r="LS67" i="34"/>
  <c r="PS56" i="34"/>
  <c r="PK56" i="34"/>
  <c r="PC56" i="34"/>
  <c r="OU56" i="34"/>
  <c r="OM56" i="34"/>
  <c r="OE56" i="34"/>
  <c r="NW56" i="34"/>
  <c r="NO56" i="34"/>
  <c r="NG56" i="34"/>
  <c r="MY56" i="34"/>
  <c r="MQ56" i="34"/>
  <c r="MI56" i="34"/>
  <c r="MA56" i="34"/>
  <c r="LS56" i="34"/>
  <c r="LK56" i="34"/>
  <c r="LC56" i="34"/>
  <c r="KU56" i="34"/>
  <c r="KM56" i="34"/>
  <c r="PZ56" i="34"/>
  <c r="PR56" i="34"/>
  <c r="PJ56" i="34"/>
  <c r="PB56" i="34"/>
  <c r="OT56" i="34"/>
  <c r="OL56" i="34"/>
  <c r="OD56" i="34"/>
  <c r="NV56" i="34"/>
  <c r="NN56" i="34"/>
  <c r="NF56" i="34"/>
  <c r="MX56" i="34"/>
  <c r="MP56" i="34"/>
  <c r="MH56" i="34"/>
  <c r="LZ56" i="34"/>
  <c r="LR56" i="34"/>
  <c r="LJ56" i="34"/>
  <c r="LB56" i="34"/>
  <c r="KT56" i="34"/>
  <c r="PY56" i="34"/>
  <c r="PQ56" i="34"/>
  <c r="PI56" i="34"/>
  <c r="PA56" i="34"/>
  <c r="OS56" i="34"/>
  <c r="OK56" i="34"/>
  <c r="OC56" i="34"/>
  <c r="NU56" i="34"/>
  <c r="NM56" i="34"/>
  <c r="NE56" i="34"/>
  <c r="MW56" i="34"/>
  <c r="MO56" i="34"/>
  <c r="MG56" i="34"/>
  <c r="LY56" i="34"/>
  <c r="LQ56" i="34"/>
  <c r="LI56" i="34"/>
  <c r="LA56" i="34"/>
  <c r="KS56" i="34"/>
  <c r="PX56" i="34"/>
  <c r="PP56" i="34"/>
  <c r="PH56" i="34"/>
  <c r="OZ56" i="34"/>
  <c r="OR56" i="34"/>
  <c r="OJ56" i="34"/>
  <c r="OB56" i="34"/>
  <c r="NT56" i="34"/>
  <c r="NL56" i="34"/>
  <c r="ND56" i="34"/>
  <c r="MV56" i="34"/>
  <c r="MN56" i="34"/>
  <c r="MF56" i="34"/>
  <c r="LX56" i="34"/>
  <c r="LP56" i="34"/>
  <c r="LH56" i="34"/>
  <c r="KZ56" i="34"/>
  <c r="KR56" i="34"/>
  <c r="PW56" i="34"/>
  <c r="PO56" i="34"/>
  <c r="PG56" i="34"/>
  <c r="OY56" i="34"/>
  <c r="OQ56" i="34"/>
  <c r="OI56" i="34"/>
  <c r="OA56" i="34"/>
  <c r="NS56" i="34"/>
  <c r="NK56" i="34"/>
  <c r="NC56" i="34"/>
  <c r="MU56" i="34"/>
  <c r="MM56" i="34"/>
  <c r="ME56" i="34"/>
  <c r="LW56" i="34"/>
  <c r="LO56" i="34"/>
  <c r="LG56" i="34"/>
  <c r="KY56" i="34"/>
  <c r="KQ56" i="34"/>
  <c r="PV56" i="34"/>
  <c r="PN56" i="34"/>
  <c r="PF56" i="34"/>
  <c r="OX56" i="34"/>
  <c r="OP56" i="34"/>
  <c r="OH56" i="34"/>
  <c r="NZ56" i="34"/>
  <c r="NR56" i="34"/>
  <c r="NJ56" i="34"/>
  <c r="NB56" i="34"/>
  <c r="MT56" i="34"/>
  <c r="ML56" i="34"/>
  <c r="MD56" i="34"/>
  <c r="LV56" i="34"/>
  <c r="LN56" i="34"/>
  <c r="LF56" i="34"/>
  <c r="KX56" i="34"/>
  <c r="KP56" i="34"/>
  <c r="PU56" i="34"/>
  <c r="PM56" i="34"/>
  <c r="PE56" i="34"/>
  <c r="OW56" i="34"/>
  <c r="OO56" i="34"/>
  <c r="OG56" i="34"/>
  <c r="NY56" i="34"/>
  <c r="NQ56" i="34"/>
  <c r="NI56" i="34"/>
  <c r="NA56" i="34"/>
  <c r="MS56" i="34"/>
  <c r="MK56" i="34"/>
  <c r="MC56" i="34"/>
  <c r="LU56" i="34"/>
  <c r="LM56" i="34"/>
  <c r="LE56" i="34"/>
  <c r="KW56" i="34"/>
  <c r="PT56" i="34"/>
  <c r="PL56" i="34"/>
  <c r="PD56" i="34"/>
  <c r="OV56" i="34"/>
  <c r="ON56" i="34"/>
  <c r="OF56" i="34"/>
  <c r="NX56" i="34"/>
  <c r="NP56" i="34"/>
  <c r="NH56" i="34"/>
  <c r="MZ56" i="34"/>
  <c r="MR56" i="34"/>
  <c r="MJ56" i="34"/>
  <c r="MB56" i="34"/>
  <c r="LT56" i="34"/>
  <c r="LL56" i="34"/>
  <c r="LD56" i="34"/>
  <c r="KV56" i="34"/>
  <c r="KN56" i="34"/>
  <c r="KO56" i="34"/>
  <c r="PY55" i="34"/>
  <c r="PQ55" i="34"/>
  <c r="PI55" i="34"/>
  <c r="PA55" i="34"/>
  <c r="OS55" i="34"/>
  <c r="OK55" i="34"/>
  <c r="OC55" i="34"/>
  <c r="NU55" i="34"/>
  <c r="NM55" i="34"/>
  <c r="NE55" i="34"/>
  <c r="MW55" i="34"/>
  <c r="MO55" i="34"/>
  <c r="MG55" i="34"/>
  <c r="LY55" i="34"/>
  <c r="LQ55" i="34"/>
  <c r="LI55" i="34"/>
  <c r="LA55" i="34"/>
  <c r="KS55" i="34"/>
  <c r="PX55" i="34"/>
  <c r="PP55" i="34"/>
  <c r="PH55" i="34"/>
  <c r="OZ55" i="34"/>
  <c r="OR55" i="34"/>
  <c r="OJ55" i="34"/>
  <c r="OB55" i="34"/>
  <c r="NT55" i="34"/>
  <c r="NL55" i="34"/>
  <c r="ND55" i="34"/>
  <c r="MV55" i="34"/>
  <c r="MN55" i="34"/>
  <c r="MF55" i="34"/>
  <c r="LX55" i="34"/>
  <c r="LP55" i="34"/>
  <c r="LH55" i="34"/>
  <c r="KZ55" i="34"/>
  <c r="KR55" i="34"/>
  <c r="PW55" i="34"/>
  <c r="PO55" i="34"/>
  <c r="PG55" i="34"/>
  <c r="OY55" i="34"/>
  <c r="OQ55" i="34"/>
  <c r="OI55" i="34"/>
  <c r="OA55" i="34"/>
  <c r="NS55" i="34"/>
  <c r="NK55" i="34"/>
  <c r="NC55" i="34"/>
  <c r="MU55" i="34"/>
  <c r="MM55" i="34"/>
  <c r="ME55" i="34"/>
  <c r="LW55" i="34"/>
  <c r="LO55" i="34"/>
  <c r="LG55" i="34"/>
  <c r="KY55" i="34"/>
  <c r="KQ55" i="34"/>
  <c r="PV55" i="34"/>
  <c r="PN55" i="34"/>
  <c r="PF55" i="34"/>
  <c r="OX55" i="34"/>
  <c r="OP55" i="34"/>
  <c r="OH55" i="34"/>
  <c r="NZ55" i="34"/>
  <c r="NR55" i="34"/>
  <c r="NJ55" i="34"/>
  <c r="NB55" i="34"/>
  <c r="MT55" i="34"/>
  <c r="ML55" i="34"/>
  <c r="MD55" i="34"/>
  <c r="LV55" i="34"/>
  <c r="LN55" i="34"/>
  <c r="LF55" i="34"/>
  <c r="KX55" i="34"/>
  <c r="KP55" i="34"/>
  <c r="PU55" i="34"/>
  <c r="PM55" i="34"/>
  <c r="PE55" i="34"/>
  <c r="OW55" i="34"/>
  <c r="OO55" i="34"/>
  <c r="OG55" i="34"/>
  <c r="NY55" i="34"/>
  <c r="NQ55" i="34"/>
  <c r="NI55" i="34"/>
  <c r="NA55" i="34"/>
  <c r="MS55" i="34"/>
  <c r="MK55" i="34"/>
  <c r="MC55" i="34"/>
  <c r="LU55" i="34"/>
  <c r="LM55" i="34"/>
  <c r="LE55" i="34"/>
  <c r="KW55" i="34"/>
  <c r="KO55" i="34"/>
  <c r="PT55" i="34"/>
  <c r="PL55" i="34"/>
  <c r="PD55" i="34"/>
  <c r="OV55" i="34"/>
  <c r="ON55" i="34"/>
  <c r="OF55" i="34"/>
  <c r="NX55" i="34"/>
  <c r="NP55" i="34"/>
  <c r="NH55" i="34"/>
  <c r="MZ55" i="34"/>
  <c r="MR55" i="34"/>
  <c r="MJ55" i="34"/>
  <c r="MB55" i="34"/>
  <c r="LT55" i="34"/>
  <c r="LL55" i="34"/>
  <c r="LD55" i="34"/>
  <c r="KV55" i="34"/>
  <c r="PS55" i="34"/>
  <c r="PK55" i="34"/>
  <c r="PC55" i="34"/>
  <c r="OU55" i="34"/>
  <c r="OM55" i="34"/>
  <c r="OE55" i="34"/>
  <c r="NW55" i="34"/>
  <c r="NO55" i="34"/>
  <c r="NG55" i="34"/>
  <c r="MY55" i="34"/>
  <c r="MQ55" i="34"/>
  <c r="MI55" i="34"/>
  <c r="MA55" i="34"/>
  <c r="LS55" i="34"/>
  <c r="LK55" i="34"/>
  <c r="LC55" i="34"/>
  <c r="KU55" i="34"/>
  <c r="KM55" i="34"/>
  <c r="PZ55" i="34"/>
  <c r="PR55" i="34"/>
  <c r="PJ55" i="34"/>
  <c r="PB55" i="34"/>
  <c r="OT55" i="34"/>
  <c r="OL55" i="34"/>
  <c r="OD55" i="34"/>
  <c r="NV55" i="34"/>
  <c r="NN55" i="34"/>
  <c r="NF55" i="34"/>
  <c r="MX55" i="34"/>
  <c r="MP55" i="34"/>
  <c r="MH55" i="34"/>
  <c r="LZ55" i="34"/>
  <c r="LR55" i="34"/>
  <c r="LJ55" i="34"/>
  <c r="LB55" i="34"/>
  <c r="KT55" i="34"/>
  <c r="V101" i="34"/>
  <c r="V107" i="34"/>
  <c r="V100" i="34"/>
  <c r="V89" i="34"/>
  <c r="V97" i="34"/>
  <c r="L103" i="34"/>
  <c r="V105" i="34"/>
  <c r="F86" i="34"/>
  <c r="H86" i="34" s="1"/>
  <c r="L89" i="34"/>
  <c r="V96" i="34"/>
  <c r="V104" i="34"/>
  <c r="L110" i="34"/>
  <c r="L98" i="34"/>
  <c r="F108" i="34"/>
  <c r="H108" i="34" s="1"/>
  <c r="V102" i="34"/>
  <c r="V99" i="34"/>
  <c r="V110" i="34"/>
  <c r="L109" i="34"/>
  <c r="L94" i="34"/>
  <c r="F99" i="34"/>
  <c r="H99" i="34" s="1"/>
  <c r="L105" i="34"/>
  <c r="M105" i="34" s="1"/>
  <c r="F100" i="34"/>
  <c r="H100" i="34" s="1"/>
  <c r="L100" i="34"/>
  <c r="L97" i="34"/>
  <c r="F90" i="34"/>
  <c r="H90" i="34" s="1"/>
  <c r="L93" i="34"/>
  <c r="F98" i="34"/>
  <c r="H98" i="34" s="1"/>
  <c r="L107" i="34"/>
  <c r="L90" i="34"/>
  <c r="V92" i="34"/>
  <c r="F95" i="34"/>
  <c r="H95" i="34" s="1"/>
  <c r="L101" i="34"/>
  <c r="L104" i="34"/>
  <c r="V106" i="34"/>
  <c r="V103" i="34"/>
  <c r="V108" i="34"/>
  <c r="F94" i="34"/>
  <c r="H94" i="34" s="1"/>
  <c r="F106" i="34"/>
  <c r="H106" i="34" s="1"/>
  <c r="F87" i="34"/>
  <c r="H87" i="34" s="1"/>
  <c r="V93" i="34"/>
  <c r="L102" i="34"/>
  <c r="V109" i="34"/>
  <c r="F110" i="34"/>
  <c r="H110" i="34" s="1"/>
  <c r="L108" i="34"/>
  <c r="F92" i="34"/>
  <c r="H92" i="34" s="1"/>
  <c r="F96" i="34"/>
  <c r="H96" i="34" s="1"/>
  <c r="F88" i="34"/>
  <c r="H88" i="34" s="1"/>
  <c r="K89" i="34"/>
  <c r="L88" i="34"/>
  <c r="L92" i="34"/>
  <c r="L96" i="34"/>
  <c r="L99" i="34"/>
  <c r="K97" i="34"/>
  <c r="V86" i="34"/>
  <c r="V87" i="34"/>
  <c r="V91" i="34"/>
  <c r="V95" i="34"/>
  <c r="F101" i="34"/>
  <c r="H101" i="34" s="1"/>
  <c r="F102" i="34"/>
  <c r="H102" i="34" s="1"/>
  <c r="F103" i="34"/>
  <c r="H103" i="34" s="1"/>
  <c r="F104" i="34"/>
  <c r="H104" i="34" s="1"/>
  <c r="F105" i="34"/>
  <c r="H105" i="34" s="1"/>
  <c r="F91" i="34"/>
  <c r="H91" i="34" s="1"/>
  <c r="K104" i="34"/>
  <c r="K96" i="34"/>
  <c r="K88" i="34"/>
  <c r="K103" i="34"/>
  <c r="K95" i="34"/>
  <c r="K87" i="34"/>
  <c r="K102" i="34"/>
  <c r="K94" i="34"/>
  <c r="K109" i="34"/>
  <c r="K101" i="34"/>
  <c r="K93" i="34"/>
  <c r="K108" i="34"/>
  <c r="K100" i="34"/>
  <c r="K92" i="34"/>
  <c r="K107" i="34"/>
  <c r="K99" i="34"/>
  <c r="K91" i="34"/>
  <c r="K106" i="34"/>
  <c r="K98" i="34"/>
  <c r="K90" i="34"/>
  <c r="K110" i="34"/>
  <c r="L86" i="34"/>
  <c r="M86" i="34" s="1"/>
  <c r="L87" i="34"/>
  <c r="F89" i="34"/>
  <c r="H89" i="34" s="1"/>
  <c r="L91" i="34"/>
  <c r="F93" i="34"/>
  <c r="H93" i="34" s="1"/>
  <c r="L95" i="34"/>
  <c r="F97" i="34"/>
  <c r="H97" i="34" s="1"/>
  <c r="W101" i="34"/>
  <c r="W106" i="34"/>
  <c r="V88" i="34"/>
  <c r="V90" i="34"/>
  <c r="V94" i="34"/>
  <c r="V98" i="34"/>
  <c r="F107" i="34"/>
  <c r="H107" i="34" s="1"/>
  <c r="F109" i="34"/>
  <c r="H109" i="34" s="1"/>
  <c r="E16" i="33"/>
  <c r="LN59" i="34" l="1"/>
  <c r="OE59" i="34"/>
  <c r="KM59" i="34"/>
  <c r="KJ59" i="34"/>
  <c r="KK59" i="34" s="1"/>
  <c r="PV59" i="34"/>
  <c r="LP59" i="34"/>
  <c r="LM59" i="34"/>
  <c r="PL59" i="34"/>
  <c r="PM59" i="34"/>
  <c r="NQ59" i="34"/>
  <c r="PS59" i="34"/>
  <c r="OJ59" i="34"/>
  <c r="KX59" i="34"/>
  <c r="NJ59" i="34"/>
  <c r="NV59" i="34"/>
  <c r="MS59" i="34"/>
  <c r="RK70" i="34"/>
  <c r="LI59" i="34"/>
  <c r="OL59" i="34"/>
  <c r="LS59" i="34"/>
  <c r="LJ59" i="34"/>
  <c r="NS59" i="34"/>
  <c r="KQ59" i="34"/>
  <c r="PZ59" i="34"/>
  <c r="OT59" i="34"/>
  <c r="MJ59" i="34"/>
  <c r="PR59" i="34"/>
  <c r="LZ59" i="34"/>
  <c r="PI59" i="34"/>
  <c r="NC59" i="34"/>
  <c r="KW59" i="34"/>
  <c r="MU59" i="34"/>
  <c r="OC59" i="34"/>
  <c r="LQ59" i="34"/>
  <c r="OO59" i="34"/>
  <c r="PY59" i="34"/>
  <c r="MW59" i="34"/>
  <c r="PU59" i="34"/>
  <c r="NO59" i="34"/>
  <c r="PP59" i="34"/>
  <c r="NW59" i="34"/>
  <c r="NT59" i="34"/>
  <c r="OW59" i="34"/>
  <c r="OH59" i="34"/>
  <c r="PG59" i="34"/>
  <c r="MF59" i="34"/>
  <c r="KT59" i="34"/>
  <c r="LC59" i="34"/>
  <c r="PF59" i="34"/>
  <c r="KZ59" i="34"/>
  <c r="MV59" i="34"/>
  <c r="LB59" i="34"/>
  <c r="NX59" i="34"/>
  <c r="OV59" i="34"/>
  <c r="NZ59" i="34"/>
  <c r="OQ59" i="34"/>
  <c r="OS59" i="34"/>
  <c r="MH59" i="34"/>
  <c r="MT59" i="34"/>
  <c r="MZ59" i="34"/>
  <c r="LW59" i="34"/>
  <c r="MI59" i="34"/>
  <c r="KV59" i="34"/>
  <c r="MN59" i="34"/>
  <c r="ON59" i="34"/>
  <c r="LG59" i="34"/>
  <c r="MG59" i="34"/>
  <c r="OR59" i="34"/>
  <c r="MX59" i="34"/>
  <c r="LT59" i="34"/>
  <c r="OY59" i="34"/>
  <c r="NG59" i="34"/>
  <c r="NK59" i="34"/>
  <c r="NF59" i="34"/>
  <c r="PH59" i="34"/>
  <c r="NR59" i="34"/>
  <c r="MP59" i="34"/>
  <c r="MC59" i="34"/>
  <c r="LX59" i="34"/>
  <c r="LA59" i="34"/>
  <c r="PJ59" i="34"/>
  <c r="PT59" i="34"/>
  <c r="LV59" i="34"/>
  <c r="PW59" i="34"/>
  <c r="MD59" i="34"/>
  <c r="LH59" i="34"/>
  <c r="KS59" i="34"/>
  <c r="OA59" i="34"/>
  <c r="PQ59" i="34"/>
  <c r="NB59" i="34"/>
  <c r="NP59" i="34"/>
  <c r="KO59" i="34"/>
  <c r="NM59" i="34"/>
  <c r="NE59" i="34"/>
  <c r="MO59" i="34"/>
  <c r="OG59" i="34"/>
  <c r="NN59" i="34"/>
  <c r="KN59" i="34"/>
  <c r="LR59" i="34"/>
  <c r="PN59" i="34"/>
  <c r="OX59" i="34"/>
  <c r="NH59" i="34"/>
  <c r="PC59" i="34"/>
  <c r="MA59" i="34"/>
  <c r="KP59" i="34"/>
  <c r="ML59" i="34"/>
  <c r="OD59" i="34"/>
  <c r="PD59" i="34"/>
  <c r="LO59" i="34"/>
  <c r="PA59" i="34"/>
  <c r="MY59" i="34"/>
  <c r="LL59" i="34"/>
  <c r="MQ59" i="34"/>
  <c r="PO59" i="34"/>
  <c r="LE59" i="34"/>
  <c r="RH73" i="34"/>
  <c r="RG73" i="34"/>
  <c r="RH70" i="34"/>
  <c r="RJ73" i="34"/>
  <c r="PE59" i="34"/>
  <c r="OP59" i="34"/>
  <c r="PX59" i="34"/>
  <c r="KU59" i="34"/>
  <c r="ND59" i="34"/>
  <c r="LU59" i="34"/>
  <c r="MK59" i="34"/>
  <c r="LK59" i="34"/>
  <c r="LF59" i="34"/>
  <c r="ME59" i="34"/>
  <c r="OZ59" i="34"/>
  <c r="NI59" i="34"/>
  <c r="KR59" i="34"/>
  <c r="OU59" i="34"/>
  <c r="MM59" i="34"/>
  <c r="PB59" i="34"/>
  <c r="NL59" i="34"/>
  <c r="MR59" i="34"/>
  <c r="NU59" i="34"/>
  <c r="MB59" i="34"/>
  <c r="PK59" i="34"/>
  <c r="OM59" i="34"/>
  <c r="KY59" i="34"/>
  <c r="OI59" i="34"/>
  <c r="NY59" i="34"/>
  <c r="LD59" i="34"/>
  <c r="OF59" i="34"/>
  <c r="NA59" i="34"/>
  <c r="LY59" i="34"/>
  <c r="OK59" i="34"/>
  <c r="RJ70" i="34"/>
  <c r="RC73" i="34"/>
  <c r="SD73" i="34"/>
  <c r="SJ73" i="34"/>
  <c r="SN73" i="34"/>
  <c r="RT73" i="34"/>
  <c r="QY73" i="34"/>
  <c r="RK64" i="34"/>
  <c r="QY66" i="34"/>
  <c r="RI66" i="34"/>
  <c r="SM70" i="34"/>
  <c r="RW71" i="34"/>
  <c r="RR73" i="34"/>
  <c r="RO73" i="34"/>
  <c r="SC66" i="34"/>
  <c r="RG66" i="34"/>
  <c r="SH73" i="34"/>
  <c r="RI73" i="34"/>
  <c r="SB73" i="34"/>
  <c r="QG70" i="34"/>
  <c r="SH71" i="34"/>
  <c r="QV70" i="34"/>
  <c r="RE71" i="34"/>
  <c r="QC66" i="34"/>
  <c r="QG66" i="34"/>
  <c r="SE66" i="34"/>
  <c r="RM73" i="34"/>
  <c r="SE73" i="34"/>
  <c r="SI66" i="34"/>
  <c r="QL70" i="34"/>
  <c r="QK73" i="34"/>
  <c r="RX71" i="34"/>
  <c r="RG71" i="34"/>
  <c r="RF71" i="34"/>
  <c r="QT66" i="34"/>
  <c r="RP66" i="34"/>
  <c r="RD66" i="34"/>
  <c r="RN66" i="34"/>
  <c r="SI73" i="34"/>
  <c r="RM66" i="34"/>
  <c r="QE66" i="34"/>
  <c r="RF66" i="34"/>
  <c r="RH66" i="34"/>
  <c r="SO66" i="34"/>
  <c r="RQ66" i="34"/>
  <c r="RR66" i="34"/>
  <c r="QD73" i="34"/>
  <c r="RX73" i="34"/>
  <c r="RK73" i="34"/>
  <c r="QX66" i="34"/>
  <c r="SX66" i="34" s="1"/>
  <c r="RN71" i="34"/>
  <c r="RF73" i="34"/>
  <c r="RG74" i="34"/>
  <c r="RF74" i="34"/>
  <c r="RG70" i="34"/>
  <c r="RP71" i="34"/>
  <c r="QH71" i="34"/>
  <c r="RO70" i="34"/>
  <c r="QP71" i="34"/>
  <c r="RU70" i="34"/>
  <c r="SE71" i="34"/>
  <c r="RH71" i="34"/>
  <c r="QJ70" i="34"/>
  <c r="QD70" i="34"/>
  <c r="RE70" i="34"/>
  <c r="QR73" i="34"/>
  <c r="RS66" i="34"/>
  <c r="SO73" i="34"/>
  <c r="QP73" i="34"/>
  <c r="SM66" i="34"/>
  <c r="RP73" i="34"/>
  <c r="RU73" i="34"/>
  <c r="SG73" i="34"/>
  <c r="QU73" i="34"/>
  <c r="QZ73" i="34"/>
  <c r="QN66" i="34"/>
  <c r="RW73" i="34"/>
  <c r="QS71" i="34"/>
  <c r="RZ73" i="34"/>
  <c r="QF73" i="34"/>
  <c r="QK66" i="34"/>
  <c r="QG73" i="34"/>
  <c r="RJ66" i="34"/>
  <c r="QW71" i="34"/>
  <c r="QT73" i="34"/>
  <c r="RY66" i="34"/>
  <c r="RT66" i="34"/>
  <c r="QM66" i="34"/>
  <c r="QU71" i="34"/>
  <c r="QS73" i="34"/>
  <c r="QO73" i="34"/>
  <c r="RU66" i="34"/>
  <c r="QZ71" i="34"/>
  <c r="QD66" i="34"/>
  <c r="QH66" i="34"/>
  <c r="QF66" i="34"/>
  <c r="SL71" i="34"/>
  <c r="RY73" i="34"/>
  <c r="RO66" i="34"/>
  <c r="TD66" i="34" s="1"/>
  <c r="SN66" i="34"/>
  <c r="QL66" i="34"/>
  <c r="SJ71" i="34"/>
  <c r="RN73" i="34"/>
  <c r="QT71" i="34"/>
  <c r="QN73" i="34"/>
  <c r="RP70" i="34"/>
  <c r="RK66" i="34"/>
  <c r="SO71" i="34"/>
  <c r="QV73" i="34"/>
  <c r="RE66" i="34"/>
  <c r="QG71" i="34"/>
  <c r="QI66" i="34"/>
  <c r="SB71" i="34"/>
  <c r="SM73" i="34"/>
  <c r="QW66" i="34"/>
  <c r="SD66" i="34"/>
  <c r="QR66" i="34"/>
  <c r="RZ71" i="34"/>
  <c r="RD73" i="34"/>
  <c r="SI71" i="34"/>
  <c r="QM73" i="34"/>
  <c r="QU66" i="34"/>
  <c r="SU66" i="34" s="1"/>
  <c r="RU71" i="34"/>
  <c r="RQ73" i="34"/>
  <c r="QZ70" i="34"/>
  <c r="QJ71" i="34"/>
  <c r="QJ66" i="34"/>
  <c r="QS66" i="34"/>
  <c r="RR71" i="34"/>
  <c r="QX73" i="34"/>
  <c r="SX73" i="34" s="1"/>
  <c r="SL66" i="34"/>
  <c r="QP66" i="34"/>
  <c r="QV66" i="34"/>
  <c r="RY71" i="34"/>
  <c r="SJ66" i="34"/>
  <c r="SK73" i="34"/>
  <c r="RD71" i="34"/>
  <c r="QH73" i="34"/>
  <c r="RJ77" i="34"/>
  <c r="SH66" i="34"/>
  <c r="SC73" i="34"/>
  <c r="SB66" i="34"/>
  <c r="SG66" i="34"/>
  <c r="SK66" i="34"/>
  <c r="RO71" i="34"/>
  <c r="QL73" i="34"/>
  <c r="RZ66" i="34"/>
  <c r="SA73" i="34"/>
  <c r="QW73" i="34"/>
  <c r="QI73" i="34"/>
  <c r="QJ73" i="34"/>
  <c r="QE73" i="34"/>
  <c r="RX66" i="34"/>
  <c r="RE73" i="34"/>
  <c r="RS73" i="34"/>
  <c r="RW66" i="34"/>
  <c r="SA66" i="34"/>
  <c r="TP66" i="34" s="1"/>
  <c r="QZ66" i="34"/>
  <c r="SL73" i="34"/>
  <c r="QC73" i="34"/>
  <c r="RC66" i="34"/>
  <c r="QO66" i="34"/>
  <c r="SE70" i="34"/>
  <c r="KK65" i="34"/>
  <c r="RK71" i="34"/>
  <c r="RF70" i="34"/>
  <c r="SO70" i="34"/>
  <c r="QN74" i="34"/>
  <c r="RE74" i="34"/>
  <c r="RK74" i="34"/>
  <c r="RR75" i="34"/>
  <c r="RT74" i="34"/>
  <c r="QS74" i="34"/>
  <c r="RD70" i="34"/>
  <c r="SA71" i="34"/>
  <c r="QC71" i="34"/>
  <c r="RX70" i="34"/>
  <c r="QO70" i="34"/>
  <c r="RT71" i="34"/>
  <c r="RS71" i="34"/>
  <c r="SB70" i="34"/>
  <c r="RS70" i="34"/>
  <c r="RJ71" i="34"/>
  <c r="QR71" i="34"/>
  <c r="SD70" i="34"/>
  <c r="RQ70" i="34"/>
  <c r="SI70" i="34"/>
  <c r="RZ70" i="34"/>
  <c r="RJ74" i="34"/>
  <c r="RI62" i="34"/>
  <c r="RG62" i="34"/>
  <c r="RT62" i="34"/>
  <c r="RF53" i="34"/>
  <c r="RH53" i="34"/>
  <c r="RF62" i="34"/>
  <c r="SD62" i="34"/>
  <c r="RQ62" i="34"/>
  <c r="RC62" i="34"/>
  <c r="RG53" i="34"/>
  <c r="RI53" i="34"/>
  <c r="RJ62" i="34"/>
  <c r="RE53" i="34"/>
  <c r="RU62" i="34"/>
  <c r="RE62" i="34"/>
  <c r="RW62" i="34"/>
  <c r="SJ62" i="34"/>
  <c r="SK62" i="34"/>
  <c r="SO62" i="34"/>
  <c r="SI62" i="34"/>
  <c r="SB62" i="34"/>
  <c r="RZ62" i="34"/>
  <c r="QY62" i="34"/>
  <c r="QS53" i="34"/>
  <c r="SN62" i="34"/>
  <c r="RK53" i="34"/>
  <c r="RK62" i="34"/>
  <c r="QR62" i="34"/>
  <c r="QH62" i="34"/>
  <c r="QW62" i="34"/>
  <c r="QN62" i="34"/>
  <c r="RY62" i="34"/>
  <c r="RO62" i="34"/>
  <c r="QZ62" i="34"/>
  <c r="RP62" i="34"/>
  <c r="QD62" i="34"/>
  <c r="SE62" i="34"/>
  <c r="RR62" i="34"/>
  <c r="QT62" i="34"/>
  <c r="RM62" i="34"/>
  <c r="QU62" i="34"/>
  <c r="SA62" i="34"/>
  <c r="RI61" i="34"/>
  <c r="SG62" i="34"/>
  <c r="RO53" i="34"/>
  <c r="RH62" i="34"/>
  <c r="SL62" i="34"/>
  <c r="QV62" i="34"/>
  <c r="RK58" i="34"/>
  <c r="QU61" i="34"/>
  <c r="RC61" i="34"/>
  <c r="RJ58" i="34"/>
  <c r="RF58" i="34"/>
  <c r="RS62" i="34"/>
  <c r="RO58" i="34"/>
  <c r="RC53" i="34"/>
  <c r="QW61" i="34"/>
  <c r="RD61" i="34"/>
  <c r="RI58" i="34"/>
  <c r="QR58" i="34"/>
  <c r="SE53" i="34"/>
  <c r="QI62" i="34"/>
  <c r="QD61" i="34"/>
  <c r="RY61" i="34"/>
  <c r="QF61" i="34"/>
  <c r="RE61" i="34"/>
  <c r="QX61" i="34"/>
  <c r="QZ61" i="34"/>
  <c r="SM58" i="34"/>
  <c r="SL58" i="34"/>
  <c r="RC58" i="34"/>
  <c r="RH58" i="34"/>
  <c r="RE58" i="34"/>
  <c r="RG58" i="34"/>
  <c r="QX62" i="34"/>
  <c r="QF62" i="34"/>
  <c r="SM62" i="34"/>
  <c r="RX62" i="34"/>
  <c r="SE61" i="34"/>
  <c r="SC62" i="34"/>
  <c r="QE62" i="34"/>
  <c r="QC58" i="34"/>
  <c r="QF70" i="34"/>
  <c r="QE71" i="34"/>
  <c r="QJ62" i="34"/>
  <c r="RY58" i="34"/>
  <c r="RR70" i="34"/>
  <c r="QN70" i="34"/>
  <c r="QT70" i="34"/>
  <c r="RQ71" i="34"/>
  <c r="RS58" i="34"/>
  <c r="RT70" i="34"/>
  <c r="RR58" i="34"/>
  <c r="RN70" i="34"/>
  <c r="RM71" i="34"/>
  <c r="QP62" i="34"/>
  <c r="QS62" i="34"/>
  <c r="SN71" i="34"/>
  <c r="QC70" i="34"/>
  <c r="QI70" i="34"/>
  <c r="QH70" i="34"/>
  <c r="QE70" i="34"/>
  <c r="RT61" i="34"/>
  <c r="SI58" i="34"/>
  <c r="RI70" i="34"/>
  <c r="QM70" i="34"/>
  <c r="RY70" i="34"/>
  <c r="QX70" i="34"/>
  <c r="SG71" i="34"/>
  <c r="QO62" i="34"/>
  <c r="SH62" i="34"/>
  <c r="QF71" i="34"/>
  <c r="QG62" i="34"/>
  <c r="RQ58" i="34"/>
  <c r="RP53" i="34"/>
  <c r="SM71" i="34"/>
  <c r="RZ61" i="34"/>
  <c r="SG70" i="34"/>
  <c r="RI71" i="34"/>
  <c r="RM58" i="34"/>
  <c r="SK70" i="34"/>
  <c r="SC70" i="34"/>
  <c r="QU70" i="34"/>
  <c r="QO71" i="34"/>
  <c r="QM62" i="34"/>
  <c r="RN62" i="34"/>
  <c r="SI61" i="34"/>
  <c r="RU61" i="34"/>
  <c r="RH61" i="34"/>
  <c r="QI71" i="34"/>
  <c r="QK62" i="34"/>
  <c r="QD71" i="34"/>
  <c r="QX71" i="34"/>
  <c r="RW70" i="34"/>
  <c r="RW58" i="34"/>
  <c r="SA70" i="34"/>
  <c r="RC71" i="34"/>
  <c r="SJ70" i="34"/>
  <c r="QN71" i="34"/>
  <c r="QL62" i="34"/>
  <c r="RC70" i="34"/>
  <c r="RG61" i="34"/>
  <c r="RK61" i="34"/>
  <c r="RF61" i="34"/>
  <c r="QC62" i="34"/>
  <c r="QF58" i="34"/>
  <c r="QW70" i="34"/>
  <c r="SC71" i="34"/>
  <c r="QR70" i="34"/>
  <c r="RM70" i="34"/>
  <c r="RD62" i="34"/>
  <c r="QV71" i="34"/>
  <c r="SG58" i="34"/>
  <c r="QY70" i="34"/>
  <c r="QW58" i="34"/>
  <c r="SH70" i="34"/>
  <c r="QM71" i="34"/>
  <c r="RU74" i="34"/>
  <c r="QY71" i="34"/>
  <c r="SE58" i="34"/>
  <c r="RZ75" i="34"/>
  <c r="QD64" i="34"/>
  <c r="QI69" i="34"/>
  <c r="QW75" i="34"/>
  <c r="QY64" i="34"/>
  <c r="QY75" i="34"/>
  <c r="RY74" i="34"/>
  <c r="RZ74" i="34"/>
  <c r="RM61" i="34"/>
  <c r="SG75" i="34"/>
  <c r="QP74" i="34"/>
  <c r="RP61" i="34"/>
  <c r="SH75" i="34"/>
  <c r="SK74" i="34"/>
  <c r="SB74" i="34"/>
  <c r="RQ61" i="34"/>
  <c r="RS74" i="34"/>
  <c r="QT58" i="34"/>
  <c r="SL70" i="34"/>
  <c r="UA70" i="34" s="1"/>
  <c r="QP70" i="34"/>
  <c r="SK71" i="34"/>
  <c r="SN70" i="34"/>
  <c r="SB58" i="34"/>
  <c r="QS70" i="34"/>
  <c r="QL71" i="34"/>
  <c r="SD71" i="34"/>
  <c r="SC61" i="34"/>
  <c r="QK71" i="34"/>
  <c r="QK70" i="34"/>
  <c r="QX58" i="34"/>
  <c r="QF64" i="34"/>
  <c r="RU53" i="34"/>
  <c r="RQ74" i="34"/>
  <c r="RK69" i="34"/>
  <c r="RP75" i="34"/>
  <c r="RJ64" i="34"/>
  <c r="RP74" i="34"/>
  <c r="RH74" i="34"/>
  <c r="SL69" i="34"/>
  <c r="RC75" i="34"/>
  <c r="RM75" i="34"/>
  <c r="RU64" i="34"/>
  <c r="SN74" i="34"/>
  <c r="SJ75" i="34"/>
  <c r="SG74" i="34"/>
  <c r="RD75" i="34"/>
  <c r="SI74" i="34"/>
  <c r="RD74" i="34"/>
  <c r="SO74" i="34"/>
  <c r="QF74" i="34"/>
  <c r="RW74" i="34"/>
  <c r="SL74" i="34"/>
  <c r="SO58" i="34"/>
  <c r="RN75" i="34"/>
  <c r="RE69" i="34"/>
  <c r="SC69" i="34"/>
  <c r="RI74" i="34"/>
  <c r="RW61" i="34"/>
  <c r="SL75" i="34"/>
  <c r="RR74" i="34"/>
  <c r="QJ74" i="34"/>
  <c r="RP69" i="34"/>
  <c r="RI64" i="34"/>
  <c r="RO69" i="34"/>
  <c r="KK64" i="34"/>
  <c r="RO64" i="34"/>
  <c r="QZ53" i="34"/>
  <c r="QU74" i="34"/>
  <c r="RI69" i="34"/>
  <c r="RK77" i="34"/>
  <c r="SO53" i="34"/>
  <c r="RO75" i="34"/>
  <c r="RH75" i="34"/>
  <c r="SB64" i="34"/>
  <c r="SE64" i="34"/>
  <c r="RF69" i="34"/>
  <c r="KK54" i="34"/>
  <c r="RG64" i="34"/>
  <c r="SM74" i="34"/>
  <c r="QR64" i="34"/>
  <c r="QI74" i="34"/>
  <c r="QE61" i="34"/>
  <c r="RH76" i="34"/>
  <c r="SJ61" i="34"/>
  <c r="QL74" i="34"/>
  <c r="SJ74" i="34"/>
  <c r="QU75" i="34"/>
  <c r="QW74" i="34"/>
  <c r="SO61" i="34"/>
  <c r="SC58" i="34"/>
  <c r="RO61" i="34"/>
  <c r="RO74" i="34"/>
  <c r="SD74" i="34"/>
  <c r="RG75" i="34"/>
  <c r="SK64" i="34"/>
  <c r="RU69" i="34"/>
  <c r="SC75" i="34"/>
  <c r="RY57" i="34"/>
  <c r="SL64" i="34"/>
  <c r="RY69" i="34"/>
  <c r="KK73" i="34"/>
  <c r="RT75" i="34"/>
  <c r="RJ75" i="34"/>
  <c r="QM69" i="34"/>
  <c r="RG69" i="34"/>
  <c r="QH61" i="34"/>
  <c r="QD74" i="34"/>
  <c r="QG74" i="34"/>
  <c r="RR76" i="34"/>
  <c r="SA77" i="34"/>
  <c r="RS61" i="34"/>
  <c r="SB75" i="34"/>
  <c r="QR74" i="34"/>
  <c r="QR75" i="34"/>
  <c r="SB61" i="34"/>
  <c r="RN74" i="34"/>
  <c r="QV61" i="34"/>
  <c r="SE74" i="34"/>
  <c r="RI57" i="34"/>
  <c r="RK75" i="34"/>
  <c r="RN64" i="34"/>
  <c r="RP64" i="34"/>
  <c r="RJ69" i="34"/>
  <c r="SB69" i="34"/>
  <c r="RC74" i="34"/>
  <c r="SH74" i="34"/>
  <c r="SK61" i="34"/>
  <c r="QZ74" i="34"/>
  <c r="SJ69" i="34"/>
  <c r="QG69" i="34"/>
  <c r="QY69" i="34"/>
  <c r="RD69" i="34"/>
  <c r="RI75" i="34"/>
  <c r="SK75" i="34"/>
  <c r="SI75" i="34"/>
  <c r="RS64" i="34"/>
  <c r="QK64" i="34"/>
  <c r="RC69" i="34"/>
  <c r="SM69" i="34"/>
  <c r="RT64" i="34"/>
  <c r="RC64" i="34"/>
  <c r="RQ69" i="34"/>
  <c r="RZ69" i="34"/>
  <c r="RW75" i="34"/>
  <c r="RR61" i="34"/>
  <c r="QH74" i="34"/>
  <c r="SM61" i="34"/>
  <c r="QR61" i="34"/>
  <c r="QO74" i="34"/>
  <c r="SC74" i="34"/>
  <c r="SL61" i="34"/>
  <c r="QS75" i="34"/>
  <c r="QV74" i="34"/>
  <c r="RX74" i="34"/>
  <c r="SN69" i="34"/>
  <c r="SA61" i="34"/>
  <c r="QZ64" i="34"/>
  <c r="RF75" i="34"/>
  <c r="KK66" i="34"/>
  <c r="QP61" i="34"/>
  <c r="SG61" i="34"/>
  <c r="RM74" i="34"/>
  <c r="QX74" i="34"/>
  <c r="QT61" i="34"/>
  <c r="RX75" i="34"/>
  <c r="SA74" i="34"/>
  <c r="QT74" i="34"/>
  <c r="TN74" i="34" s="1"/>
  <c r="QY74" i="34"/>
  <c r="KK77" i="34"/>
  <c r="RE75" i="34"/>
  <c r="QC74" i="34"/>
  <c r="QK74" i="34"/>
  <c r="QE74" i="34"/>
  <c r="QM74" i="34"/>
  <c r="QL69" i="34"/>
  <c r="TT71" i="34"/>
  <c r="RQ64" i="34"/>
  <c r="KK69" i="34"/>
  <c r="QH58" i="34"/>
  <c r="QD53" i="34"/>
  <c r="QZ58" i="34"/>
  <c r="RI55" i="34"/>
  <c r="RU58" i="34"/>
  <c r="SK57" i="34"/>
  <c r="KK58" i="34"/>
  <c r="RT57" i="34"/>
  <c r="RD57" i="34"/>
  <c r="RH57" i="34"/>
  <c r="SL57" i="34"/>
  <c r="RE55" i="34"/>
  <c r="QC53" i="34"/>
  <c r="QC61" i="34"/>
  <c r="RN57" i="34"/>
  <c r="RG57" i="34"/>
  <c r="RC57" i="34"/>
  <c r="RJ57" i="34"/>
  <c r="RK57" i="34"/>
  <c r="SJ57" i="34"/>
  <c r="KK55" i="34"/>
  <c r="KK62" i="34"/>
  <c r="M106" i="34"/>
  <c r="QF75" i="34"/>
  <c r="QJ69" i="34"/>
  <c r="QJ98" i="34" s="1"/>
  <c r="QJ127" i="34" s="1"/>
  <c r="QD69" i="34"/>
  <c r="RH72" i="34"/>
  <c r="RG77" i="34"/>
  <c r="RC77" i="34"/>
  <c r="QL64" i="34"/>
  <c r="RF64" i="34"/>
  <c r="SN64" i="34"/>
  <c r="QR69" i="34"/>
  <c r="QV57" i="34"/>
  <c r="QP75" i="34"/>
  <c r="RY75" i="34"/>
  <c r="RH64" i="34"/>
  <c r="QS57" i="34"/>
  <c r="SD69" i="34"/>
  <c r="SN75" i="34"/>
  <c r="QS64" i="34"/>
  <c r="QY57" i="34"/>
  <c r="QZ69" i="34"/>
  <c r="SO64" i="34"/>
  <c r="QW69" i="34"/>
  <c r="RE57" i="34"/>
  <c r="QI75" i="34"/>
  <c r="QC69" i="34"/>
  <c r="QC57" i="34"/>
  <c r="RD65" i="34"/>
  <c r="RC65" i="34"/>
  <c r="RK65" i="34"/>
  <c r="QH69" i="34"/>
  <c r="RK67" i="34"/>
  <c r="QD57" i="34"/>
  <c r="QD75" i="34"/>
  <c r="QL53" i="34"/>
  <c r="SI77" i="34"/>
  <c r="QZ75" i="34"/>
  <c r="SD64" i="34"/>
  <c r="QS69" i="34"/>
  <c r="QP69" i="34"/>
  <c r="RQ57" i="34"/>
  <c r="RH69" i="34"/>
  <c r="QN75" i="34"/>
  <c r="RF57" i="34"/>
  <c r="RD64" i="34"/>
  <c r="RX57" i="34"/>
  <c r="RT69" i="34"/>
  <c r="SD75" i="34"/>
  <c r="SH64" i="34"/>
  <c r="QV69" i="34"/>
  <c r="SN57" i="34"/>
  <c r="SO69" i="34"/>
  <c r="QJ75" i="34"/>
  <c r="QK69" i="34"/>
  <c r="RY68" i="34"/>
  <c r="QE64" i="34"/>
  <c r="QG64" i="34"/>
  <c r="RE77" i="34"/>
  <c r="RJ61" i="34"/>
  <c r="SO75" i="34"/>
  <c r="SH69" i="34"/>
  <c r="QO69" i="34"/>
  <c r="SA57" i="34"/>
  <c r="QM75" i="34"/>
  <c r="SH57" i="34"/>
  <c r="RX64" i="34"/>
  <c r="SK69" i="34"/>
  <c r="SD57" i="34"/>
  <c r="SE69" i="34"/>
  <c r="RR69" i="34"/>
  <c r="RC55" i="34"/>
  <c r="RG55" i="34"/>
  <c r="RK55" i="34"/>
  <c r="QC75" i="34"/>
  <c r="QG57" i="34"/>
  <c r="QF69" i="34"/>
  <c r="QG75" i="34"/>
  <c r="QE75" i="34"/>
  <c r="QH64" i="34"/>
  <c r="SJ53" i="34"/>
  <c r="SE75" i="34"/>
  <c r="QU64" i="34"/>
  <c r="RX69" i="34"/>
  <c r="SG69" i="34"/>
  <c r="QU57" i="34"/>
  <c r="QX64" i="34"/>
  <c r="SI57" i="34"/>
  <c r="QR53" i="34"/>
  <c r="SA69" i="34"/>
  <c r="RQ75" i="34"/>
  <c r="QX75" i="34"/>
  <c r="QV64" i="34"/>
  <c r="QW57" i="34"/>
  <c r="KK56" i="34"/>
  <c r="KK53" i="34"/>
  <c r="QK75" i="34"/>
  <c r="QI64" i="34"/>
  <c r="RI76" i="34"/>
  <c r="RH77" i="34"/>
  <c r="RU75" i="34"/>
  <c r="SJ64" i="34"/>
  <c r="QT69" i="34"/>
  <c r="QX69" i="34"/>
  <c r="RN69" i="34"/>
  <c r="RW69" i="34"/>
  <c r="QO75" i="34"/>
  <c r="RP57" i="34"/>
  <c r="SM64" i="34"/>
  <c r="QT57" i="34"/>
  <c r="RR64" i="34"/>
  <c r="SA75" i="34"/>
  <c r="RS75" i="34"/>
  <c r="SA64" i="34"/>
  <c r="RR57" i="34"/>
  <c r="QU69" i="34"/>
  <c r="QH75" i="34"/>
  <c r="QE69" i="34"/>
  <c r="QC64" i="34"/>
  <c r="RK72" i="34"/>
  <c r="RE76" i="34"/>
  <c r="QO77" i="34"/>
  <c r="RS77" i="34"/>
  <c r="RY77" i="34"/>
  <c r="RD77" i="34"/>
  <c r="RD52" i="34"/>
  <c r="RC63" i="34"/>
  <c r="SC57" i="34"/>
  <c r="RZ64" i="34"/>
  <c r="SI69" i="34"/>
  <c r="RS69" i="34"/>
  <c r="QN69" i="34"/>
  <c r="RM69" i="34"/>
  <c r="QL75" i="34"/>
  <c r="QT75" i="34"/>
  <c r="RZ57" i="34"/>
  <c r="SC64" i="34"/>
  <c r="RO57" i="34"/>
  <c r="QW64" i="34"/>
  <c r="QV75" i="34"/>
  <c r="SM75" i="34"/>
  <c r="SB57" i="34"/>
  <c r="RH54" i="34"/>
  <c r="QO61" i="34"/>
  <c r="RX55" i="34"/>
  <c r="RN55" i="34"/>
  <c r="SH55" i="34"/>
  <c r="QS55" i="34"/>
  <c r="SL55" i="34"/>
  <c r="RR55" i="34"/>
  <c r="SB55" i="34"/>
  <c r="QW55" i="34"/>
  <c r="RF56" i="34"/>
  <c r="RJ56" i="34"/>
  <c r="SO68" i="34"/>
  <c r="RU68" i="34"/>
  <c r="SE68" i="34"/>
  <c r="QZ68" i="34"/>
  <c r="RX68" i="34"/>
  <c r="SH68" i="34"/>
  <c r="QS68" i="34"/>
  <c r="RN68" i="34"/>
  <c r="RR68" i="34"/>
  <c r="SB68" i="34"/>
  <c r="SL68" i="34"/>
  <c r="QW68" i="34"/>
  <c r="RE68" i="34"/>
  <c r="RY65" i="34"/>
  <c r="SI65" i="34"/>
  <c r="QT65" i="34"/>
  <c r="RO65" i="34"/>
  <c r="RS65" i="34"/>
  <c r="SC65" i="34"/>
  <c r="SM65" i="34"/>
  <c r="QX65" i="34"/>
  <c r="RF67" i="34"/>
  <c r="RC67" i="34"/>
  <c r="RD58" i="34"/>
  <c r="QL58" i="34"/>
  <c r="SH58" i="34"/>
  <c r="QM58" i="34"/>
  <c r="RX58" i="34"/>
  <c r="QN58" i="34"/>
  <c r="RN58" i="34"/>
  <c r="QO58" i="34"/>
  <c r="QS58" i="34"/>
  <c r="QP58" i="34"/>
  <c r="SD58" i="34"/>
  <c r="RT58" i="34"/>
  <c r="SN58" i="34"/>
  <c r="QY58" i="34"/>
  <c r="QE58" i="34"/>
  <c r="SA53" i="34"/>
  <c r="SK53" i="34"/>
  <c r="RQ53" i="34"/>
  <c r="QV53" i="34"/>
  <c r="RD55" i="34"/>
  <c r="RH55" i="34"/>
  <c r="SG56" i="34"/>
  <c r="RW56" i="34"/>
  <c r="QN56" i="34"/>
  <c r="QO56" i="34"/>
  <c r="RM56" i="34"/>
  <c r="QP56" i="34"/>
  <c r="QR56" i="34"/>
  <c r="QL56" i="34"/>
  <c r="QM56" i="34"/>
  <c r="RQ56" i="34"/>
  <c r="SK56" i="34"/>
  <c r="SA56" i="34"/>
  <c r="QV56" i="34"/>
  <c r="SO56" i="34"/>
  <c r="SE56" i="34"/>
  <c r="RU56" i="34"/>
  <c r="QZ56" i="34"/>
  <c r="RK68" i="34"/>
  <c r="RP65" i="34"/>
  <c r="RZ65" i="34"/>
  <c r="SJ65" i="34"/>
  <c r="QU65" i="34"/>
  <c r="RI65" i="34"/>
  <c r="RO72" i="34"/>
  <c r="RY72" i="34"/>
  <c r="SI72" i="34"/>
  <c r="QT72" i="34"/>
  <c r="RP72" i="34"/>
  <c r="RZ72" i="34"/>
  <c r="SJ72" i="34"/>
  <c r="QU72" i="34"/>
  <c r="RZ76" i="34"/>
  <c r="SJ76" i="34"/>
  <c r="RP76" i="34"/>
  <c r="QU76" i="34"/>
  <c r="SN63" i="34"/>
  <c r="RT63" i="34"/>
  <c r="QY63" i="34"/>
  <c r="SD63" i="34"/>
  <c r="RN77" i="34"/>
  <c r="RX77" i="34"/>
  <c r="SH77" i="34"/>
  <c r="QS77" i="34"/>
  <c r="RG52" i="34"/>
  <c r="RO55" i="34"/>
  <c r="SI55" i="34"/>
  <c r="RY55" i="34"/>
  <c r="QT55" i="34"/>
  <c r="SC55" i="34"/>
  <c r="RS55" i="34"/>
  <c r="SM55" i="34"/>
  <c r="QX55" i="34"/>
  <c r="RC56" i="34"/>
  <c r="RG56" i="34"/>
  <c r="RF68" i="34"/>
  <c r="RG68" i="34"/>
  <c r="RT65" i="34"/>
  <c r="SD65" i="34"/>
  <c r="SN65" i="34"/>
  <c r="QY65" i="34"/>
  <c r="RS67" i="34"/>
  <c r="SC67" i="34"/>
  <c r="SM67" i="34"/>
  <c r="QX67" i="34"/>
  <c r="RM67" i="34"/>
  <c r="RW67" i="34"/>
  <c r="SG67" i="34"/>
  <c r="QM67" i="34"/>
  <c r="QN67" i="34"/>
  <c r="QO67" i="34"/>
  <c r="QP67" i="34"/>
  <c r="QR67" i="34"/>
  <c r="QL67" i="34"/>
  <c r="SA67" i="34"/>
  <c r="SK67" i="34"/>
  <c r="QV67" i="34"/>
  <c r="RQ67" i="34"/>
  <c r="RI67" i="34"/>
  <c r="RS72" i="34"/>
  <c r="SM72" i="34"/>
  <c r="SC72" i="34"/>
  <c r="QX72" i="34"/>
  <c r="SD72" i="34"/>
  <c r="SN72" i="34"/>
  <c r="RT72" i="34"/>
  <c r="QY72" i="34"/>
  <c r="RJ52" i="34"/>
  <c r="RP63" i="34"/>
  <c r="RZ63" i="34"/>
  <c r="SJ63" i="34"/>
  <c r="QU63" i="34"/>
  <c r="SO77" i="34"/>
  <c r="SE77" i="34"/>
  <c r="QZ77" i="34"/>
  <c r="RU77" i="34"/>
  <c r="RC52" i="34"/>
  <c r="RI52" i="34"/>
  <c r="RY53" i="34"/>
  <c r="SI53" i="34"/>
  <c r="QT53" i="34"/>
  <c r="RU72" i="34"/>
  <c r="SE72" i="34"/>
  <c r="SO72" i="34"/>
  <c r="QZ72" i="34"/>
  <c r="RJ53" i="34"/>
  <c r="RT53" i="34"/>
  <c r="SD53" i="34"/>
  <c r="QY53" i="34"/>
  <c r="RR63" i="34"/>
  <c r="SB63" i="34"/>
  <c r="SL63" i="34"/>
  <c r="QW63" i="34"/>
  <c r="SN53" i="34"/>
  <c r="RX56" i="34"/>
  <c r="SH56" i="34"/>
  <c r="RN56" i="34"/>
  <c r="QS56" i="34"/>
  <c r="RR56" i="34"/>
  <c r="SL56" i="34"/>
  <c r="QW56" i="34"/>
  <c r="SB56" i="34"/>
  <c r="SJ55" i="34"/>
  <c r="RZ55" i="34"/>
  <c r="RP55" i="34"/>
  <c r="QU55" i="34"/>
  <c r="RT55" i="34"/>
  <c r="SD55" i="34"/>
  <c r="QY55" i="34"/>
  <c r="SN55" i="34"/>
  <c r="RD56" i="34"/>
  <c r="RH56" i="34"/>
  <c r="RP68" i="34"/>
  <c r="RZ68" i="34"/>
  <c r="SJ68" i="34"/>
  <c r="QU68" i="34"/>
  <c r="RH68" i="34"/>
  <c r="RR65" i="34"/>
  <c r="SB65" i="34"/>
  <c r="SL65" i="34"/>
  <c r="QW65" i="34"/>
  <c r="RM65" i="34"/>
  <c r="RW65" i="34"/>
  <c r="QL65" i="34"/>
  <c r="QM65" i="34"/>
  <c r="QN65" i="34"/>
  <c r="QO65" i="34"/>
  <c r="QP65" i="34"/>
  <c r="SG65" i="34"/>
  <c r="QR65" i="34"/>
  <c r="RU65" i="34"/>
  <c r="SE65" i="34"/>
  <c r="QZ65" i="34"/>
  <c r="SO65" i="34"/>
  <c r="RD67" i="34"/>
  <c r="RN67" i="34"/>
  <c r="RX67" i="34"/>
  <c r="SH67" i="34"/>
  <c r="QS67" i="34"/>
  <c r="RJ67" i="34"/>
  <c r="QP77" i="34"/>
  <c r="SM77" i="34"/>
  <c r="SD56" i="34"/>
  <c r="RT56" i="34"/>
  <c r="SN56" i="34"/>
  <c r="QY56" i="34"/>
  <c r="RJ55" i="34"/>
  <c r="SG68" i="34"/>
  <c r="RM68" i="34"/>
  <c r="QL68" i="34"/>
  <c r="QM68" i="34"/>
  <c r="QN68" i="34"/>
  <c r="QO68" i="34"/>
  <c r="QP68" i="34"/>
  <c r="RW68" i="34"/>
  <c r="QR68" i="34"/>
  <c r="RQ68" i="34"/>
  <c r="SA68" i="34"/>
  <c r="SK68" i="34"/>
  <c r="QV68" i="34"/>
  <c r="RF65" i="34"/>
  <c r="RZ56" i="34"/>
  <c r="RP56" i="34"/>
  <c r="SJ56" i="34"/>
  <c r="QU56" i="34"/>
  <c r="RF55" i="34"/>
  <c r="SI56" i="34"/>
  <c r="RO56" i="34"/>
  <c r="RY56" i="34"/>
  <c r="QT56" i="34"/>
  <c r="SC56" i="34"/>
  <c r="RS56" i="34"/>
  <c r="SM56" i="34"/>
  <c r="QX56" i="34"/>
  <c r="SG55" i="34"/>
  <c r="RM55" i="34"/>
  <c r="RW55" i="34"/>
  <c r="QL55" i="34"/>
  <c r="QM55" i="34"/>
  <c r="QN55" i="34"/>
  <c r="QO55" i="34"/>
  <c r="QP55" i="34"/>
  <c r="QR55" i="34"/>
  <c r="SA55" i="34"/>
  <c r="SK55" i="34"/>
  <c r="RQ55" i="34"/>
  <c r="QV55" i="34"/>
  <c r="SO55" i="34"/>
  <c r="SE55" i="34"/>
  <c r="RU55" i="34"/>
  <c r="QZ55" i="34"/>
  <c r="RE56" i="34"/>
  <c r="RO67" i="34"/>
  <c r="RY67" i="34"/>
  <c r="SI67" i="34"/>
  <c r="QT67" i="34"/>
  <c r="RT68" i="34"/>
  <c r="SD68" i="34"/>
  <c r="SN68" i="34"/>
  <c r="QY68" i="34"/>
  <c r="RD68" i="34"/>
  <c r="SI68" i="34"/>
  <c r="QT68" i="34"/>
  <c r="RO68" i="34"/>
  <c r="RQ65" i="34"/>
  <c r="SA65" i="34"/>
  <c r="SK65" i="34"/>
  <c r="QV65" i="34"/>
  <c r="RG67" i="34"/>
  <c r="SA58" i="34"/>
  <c r="SK58" i="34"/>
  <c r="QV58" i="34"/>
  <c r="RD53" i="34"/>
  <c r="RN53" i="34"/>
  <c r="RX53" i="34"/>
  <c r="SH53" i="34"/>
  <c r="SN52" i="34"/>
  <c r="SD52" i="34"/>
  <c r="QY52" i="34"/>
  <c r="RT52" i="34"/>
  <c r="SB76" i="34"/>
  <c r="RK56" i="34"/>
  <c r="QJ64" i="34"/>
  <c r="QF53" i="34"/>
  <c r="RJ68" i="34"/>
  <c r="RI68" i="34"/>
  <c r="RH65" i="34"/>
  <c r="SH65" i="34"/>
  <c r="RN65" i="34"/>
  <c r="RX65" i="34"/>
  <c r="QS65" i="34"/>
  <c r="RG65" i="34"/>
  <c r="QE53" i="34"/>
  <c r="RD72" i="34"/>
  <c r="RS76" i="34"/>
  <c r="SM76" i="34"/>
  <c r="SC76" i="34"/>
  <c r="QX76" i="34"/>
  <c r="RK76" i="34"/>
  <c r="RF52" i="34"/>
  <c r="SO54" i="34"/>
  <c r="RU54" i="34"/>
  <c r="SE54" i="34"/>
  <c r="QZ54" i="34"/>
  <c r="SK72" i="34"/>
  <c r="RQ72" i="34"/>
  <c r="QV72" i="34"/>
  <c r="SA72" i="34"/>
  <c r="QX77" i="34"/>
  <c r="QT64" i="34"/>
  <c r="TD64" i="34" s="1"/>
  <c r="QN77" i="34"/>
  <c r="SG53" i="34"/>
  <c r="RO77" i="34"/>
  <c r="QP64" i="34"/>
  <c r="RG76" i="34"/>
  <c r="SL52" i="34"/>
  <c r="SB52" i="34"/>
  <c r="QW52" i="34"/>
  <c r="RR52" i="34"/>
  <c r="RR54" i="34"/>
  <c r="SL54" i="34"/>
  <c r="SB54" i="34"/>
  <c r="QW54" i="34"/>
  <c r="RQ54" i="34"/>
  <c r="SA54" i="34"/>
  <c r="SK54" i="34"/>
  <c r="QV54" i="34"/>
  <c r="SE63" i="34"/>
  <c r="SO63" i="34"/>
  <c r="QZ63" i="34"/>
  <c r="RU63" i="34"/>
  <c r="RU57" i="34"/>
  <c r="SO57" i="34"/>
  <c r="SE57" i="34"/>
  <c r="QZ57" i="34"/>
  <c r="RC72" i="34"/>
  <c r="RN63" i="34"/>
  <c r="RX63" i="34"/>
  <c r="SH63" i="34"/>
  <c r="QS63" i="34"/>
  <c r="SC77" i="34"/>
  <c r="QW76" i="34"/>
  <c r="SI64" i="34"/>
  <c r="QM77" i="34"/>
  <c r="RW53" i="34"/>
  <c r="QY61" i="34"/>
  <c r="QO64" i="34"/>
  <c r="RU67" i="34"/>
  <c r="SE67" i="34"/>
  <c r="SO67" i="34"/>
  <c r="QZ67" i="34"/>
  <c r="RH67" i="34"/>
  <c r="RR67" i="34"/>
  <c r="SB67" i="34"/>
  <c r="SL67" i="34"/>
  <c r="QW67" i="34"/>
  <c r="QF57" i="34"/>
  <c r="SM54" i="34"/>
  <c r="RS54" i="34"/>
  <c r="SC54" i="34"/>
  <c r="QX54" i="34"/>
  <c r="RC76" i="34"/>
  <c r="RU76" i="34"/>
  <c r="SO76" i="34"/>
  <c r="QZ76" i="34"/>
  <c r="SE76" i="34"/>
  <c r="RP77" i="34"/>
  <c r="SJ77" i="34"/>
  <c r="RZ77" i="34"/>
  <c r="QU77" i="34"/>
  <c r="RI77" i="34"/>
  <c r="QC77" i="34"/>
  <c r="RS63" i="34"/>
  <c r="SC63" i="34"/>
  <c r="SM63" i="34"/>
  <c r="QX63" i="34"/>
  <c r="SM52" i="34"/>
  <c r="SC52" i="34"/>
  <c r="QX52" i="34"/>
  <c r="RS52" i="34"/>
  <c r="SH52" i="34"/>
  <c r="RX52" i="34"/>
  <c r="QS52" i="34"/>
  <c r="RN52" i="34"/>
  <c r="SO52" i="34"/>
  <c r="SE52" i="34"/>
  <c r="QZ52" i="34"/>
  <c r="RU52" i="34"/>
  <c r="RJ54" i="34"/>
  <c r="RT54" i="34"/>
  <c r="SD54" i="34"/>
  <c r="SN54" i="34"/>
  <c r="QY54" i="34"/>
  <c r="RQ63" i="34"/>
  <c r="SA63" i="34"/>
  <c r="SK63" i="34"/>
  <c r="QV63" i="34"/>
  <c r="RF72" i="34"/>
  <c r="RE54" i="34"/>
  <c r="RJ72" i="34"/>
  <c r="QN61" i="34"/>
  <c r="SL76" i="34"/>
  <c r="RY64" i="34"/>
  <c r="QL77" i="34"/>
  <c r="QP53" i="34"/>
  <c r="RM53" i="34"/>
  <c r="SN61" i="34"/>
  <c r="QS61" i="34"/>
  <c r="QV77" i="34"/>
  <c r="QN64" i="34"/>
  <c r="RJ63" i="34"/>
  <c r="RQ76" i="34"/>
  <c r="SA76" i="34"/>
  <c r="SK76" i="34"/>
  <c r="QV76" i="34"/>
  <c r="RI54" i="34"/>
  <c r="RO63" i="34"/>
  <c r="RY63" i="34"/>
  <c r="SI63" i="34"/>
  <c r="QT63" i="34"/>
  <c r="SI52" i="34"/>
  <c r="RY52" i="34"/>
  <c r="RO52" i="34"/>
  <c r="QT52" i="34"/>
  <c r="SK52" i="34"/>
  <c r="SA52" i="34"/>
  <c r="QV52" i="34"/>
  <c r="RQ52" i="34"/>
  <c r="RK54" i="34"/>
  <c r="RF54" i="34"/>
  <c r="RZ54" i="34"/>
  <c r="SJ54" i="34"/>
  <c r="RP54" i="34"/>
  <c r="QU54" i="34"/>
  <c r="RW63" i="34"/>
  <c r="SG63" i="34"/>
  <c r="QR63" i="34"/>
  <c r="QL63" i="34"/>
  <c r="QM63" i="34"/>
  <c r="RM63" i="34"/>
  <c r="QN63" i="34"/>
  <c r="QO63" i="34"/>
  <c r="QP63" i="34"/>
  <c r="RR53" i="34"/>
  <c r="SB53" i="34"/>
  <c r="SL53" i="34"/>
  <c r="QW53" i="34"/>
  <c r="RE72" i="34"/>
  <c r="QM61" i="34"/>
  <c r="QX53" i="34"/>
  <c r="RE64" i="34"/>
  <c r="RM77" i="34"/>
  <c r="QO53" i="34"/>
  <c r="SD61" i="34"/>
  <c r="SH61" i="34"/>
  <c r="SK77" i="34"/>
  <c r="SG64" i="34"/>
  <c r="QX57" i="34"/>
  <c r="RI56" i="34"/>
  <c r="RS68" i="34"/>
  <c r="SC68" i="34"/>
  <c r="SM68" i="34"/>
  <c r="QX68" i="34"/>
  <c r="RC68" i="34"/>
  <c r="RE65" i="34"/>
  <c r="RJ65" i="34"/>
  <c r="RT67" i="34"/>
  <c r="SD67" i="34"/>
  <c r="SN67" i="34"/>
  <c r="QY67" i="34"/>
  <c r="SJ67" i="34"/>
  <c r="RP67" i="34"/>
  <c r="RZ67" i="34"/>
  <c r="QU67" i="34"/>
  <c r="RE67" i="34"/>
  <c r="QG61" i="34"/>
  <c r="RF63" i="34"/>
  <c r="RM76" i="34"/>
  <c r="SG76" i="34"/>
  <c r="QN76" i="34"/>
  <c r="RW76" i="34"/>
  <c r="QP76" i="34"/>
  <c r="QL76" i="34"/>
  <c r="QM76" i="34"/>
  <c r="QO76" i="34"/>
  <c r="QR76" i="34"/>
  <c r="RX76" i="34"/>
  <c r="RN76" i="34"/>
  <c r="SH76" i="34"/>
  <c r="QS76" i="34"/>
  <c r="RI63" i="34"/>
  <c r="RE52" i="34"/>
  <c r="SG52" i="34"/>
  <c r="RW52" i="34"/>
  <c r="QR52" i="34"/>
  <c r="RM52" i="34"/>
  <c r="RK63" i="34"/>
  <c r="RG54" i="34"/>
  <c r="RD54" i="34"/>
  <c r="RM72" i="34"/>
  <c r="RW72" i="34"/>
  <c r="SG72" i="34"/>
  <c r="QM72" i="34"/>
  <c r="QN72" i="34"/>
  <c r="QO72" i="34"/>
  <c r="QP72" i="34"/>
  <c r="QR72" i="34"/>
  <c r="QL72" i="34"/>
  <c r="RD63" i="34"/>
  <c r="SI76" i="34"/>
  <c r="RY76" i="34"/>
  <c r="RO76" i="34"/>
  <c r="QT76" i="34"/>
  <c r="SB72" i="34"/>
  <c r="QW72" i="34"/>
  <c r="SL72" i="34"/>
  <c r="RR72" i="34"/>
  <c r="QL61" i="34"/>
  <c r="QU53" i="34"/>
  <c r="SM53" i="34"/>
  <c r="SG77" i="34"/>
  <c r="QN53" i="34"/>
  <c r="RX61" i="34"/>
  <c r="RQ77" i="34"/>
  <c r="RW64" i="34"/>
  <c r="RS57" i="34"/>
  <c r="SD76" i="34"/>
  <c r="RT76" i="34"/>
  <c r="SN76" i="34"/>
  <c r="QY76" i="34"/>
  <c r="SD77" i="34"/>
  <c r="QY77" i="34"/>
  <c r="RT77" i="34"/>
  <c r="SN77" i="34"/>
  <c r="RR77" i="34"/>
  <c r="SL77" i="34"/>
  <c r="SB77" i="34"/>
  <c r="QW77" i="34"/>
  <c r="RE63" i="34"/>
  <c r="RH52" i="34"/>
  <c r="RK52" i="34"/>
  <c r="RG63" i="34"/>
  <c r="RO54" i="34"/>
  <c r="RY54" i="34"/>
  <c r="SI54" i="34"/>
  <c r="QT54" i="34"/>
  <c r="RX54" i="34"/>
  <c r="RN54" i="34"/>
  <c r="SH54" i="34"/>
  <c r="QS54" i="34"/>
  <c r="RZ58" i="34"/>
  <c r="SJ58" i="34"/>
  <c r="QU58" i="34"/>
  <c r="RP58" i="34"/>
  <c r="RI72" i="34"/>
  <c r="SG54" i="34"/>
  <c r="RM54" i="34"/>
  <c r="RW54" i="34"/>
  <c r="QN54" i="34"/>
  <c r="QO54" i="34"/>
  <c r="QP54" i="34"/>
  <c r="QR54" i="34"/>
  <c r="QL54" i="34"/>
  <c r="QM54" i="34"/>
  <c r="RM57" i="34"/>
  <c r="SG57" i="34"/>
  <c r="RW57" i="34"/>
  <c r="QL57" i="34"/>
  <c r="QM57" i="34"/>
  <c r="QN57" i="34"/>
  <c r="QO57" i="34"/>
  <c r="QP57" i="34"/>
  <c r="QR57" i="34"/>
  <c r="RD76" i="34"/>
  <c r="RF76" i="34"/>
  <c r="RZ53" i="34"/>
  <c r="SC53" i="34"/>
  <c r="QR77" i="34"/>
  <c r="SR77" i="34" s="1"/>
  <c r="RW77" i="34"/>
  <c r="QM53" i="34"/>
  <c r="QT77" i="34"/>
  <c r="RN61" i="34"/>
  <c r="QM64" i="34"/>
  <c r="RM64" i="34"/>
  <c r="SM57" i="34"/>
  <c r="RZ52" i="34"/>
  <c r="SJ52" i="34"/>
  <c r="QU52" i="34"/>
  <c r="RP52" i="34"/>
  <c r="RG72" i="34"/>
  <c r="RC54" i="34"/>
  <c r="RN72" i="34"/>
  <c r="RX72" i="34"/>
  <c r="SH72" i="34"/>
  <c r="QS72" i="34"/>
  <c r="RH63" i="34"/>
  <c r="RJ76" i="34"/>
  <c r="RF77" i="34"/>
  <c r="RS53" i="34"/>
  <c r="TS71" i="34"/>
  <c r="M97" i="34"/>
  <c r="QH77" i="34"/>
  <c r="QJ53" i="34"/>
  <c r="QI53" i="34"/>
  <c r="QK57" i="34"/>
  <c r="QK61" i="34"/>
  <c r="QE77" i="34"/>
  <c r="QE63" i="34"/>
  <c r="QH53" i="34"/>
  <c r="W97" i="34"/>
  <c r="W105" i="34"/>
  <c r="QH76" i="34"/>
  <c r="QH63" i="34"/>
  <c r="QJ72" i="34"/>
  <c r="QH57" i="34"/>
  <c r="QJ57" i="34"/>
  <c r="QG63" i="34"/>
  <c r="QI57" i="34"/>
  <c r="QI61" i="34"/>
  <c r="QJ61" i="34"/>
  <c r="QG72" i="34"/>
  <c r="QD52" i="34"/>
  <c r="QD63" i="34"/>
  <c r="QE57" i="34"/>
  <c r="QJ54" i="34"/>
  <c r="QD54" i="34"/>
  <c r="QG53" i="34"/>
  <c r="QF76" i="34"/>
  <c r="QK76" i="34"/>
  <c r="QC76" i="34"/>
  <c r="QJ76" i="34"/>
  <c r="QI76" i="34"/>
  <c r="QK77" i="34"/>
  <c r="QF54" i="34"/>
  <c r="QD46" i="34"/>
  <c r="QG76" i="34"/>
  <c r="QK53" i="34"/>
  <c r="QI58" i="34"/>
  <c r="QG77" i="34"/>
  <c r="QH54" i="34"/>
  <c r="QG54" i="34"/>
  <c r="QI63" i="34"/>
  <c r="QK58" i="34"/>
  <c r="QJ58" i="34"/>
  <c r="QH72" i="34"/>
  <c r="QD72" i="34"/>
  <c r="QD76" i="34"/>
  <c r="QI72" i="34"/>
  <c r="QJ63" i="34"/>
  <c r="QE72" i="34"/>
  <c r="QF77" i="34"/>
  <c r="QE52" i="34"/>
  <c r="QG52" i="34"/>
  <c r="QH68" i="34"/>
  <c r="QC63" i="34"/>
  <c r="QG58" i="34"/>
  <c r="QE76" i="34"/>
  <c r="QC72" i="34"/>
  <c r="QC54" i="34"/>
  <c r="QI54" i="34"/>
  <c r="QH52" i="34"/>
  <c r="QK63" i="34"/>
  <c r="QD58" i="34"/>
  <c r="QK72" i="34"/>
  <c r="QD77" i="34"/>
  <c r="QI77" i="34"/>
  <c r="QK54" i="34"/>
  <c r="QP52" i="34"/>
  <c r="QO52" i="34"/>
  <c r="QN52" i="34"/>
  <c r="QF52" i="34"/>
  <c r="QM52" i="34"/>
  <c r="QL52" i="34"/>
  <c r="QK52" i="34"/>
  <c r="QC52" i="34"/>
  <c r="QJ52" i="34"/>
  <c r="QI52" i="34"/>
  <c r="QC46" i="34"/>
  <c r="QF63" i="34"/>
  <c r="QE54" i="34"/>
  <c r="QF72" i="34"/>
  <c r="QJ77" i="34"/>
  <c r="QF65" i="34"/>
  <c r="QK65" i="34"/>
  <c r="QC65" i="34"/>
  <c r="QJ65" i="34"/>
  <c r="QI65" i="34"/>
  <c r="QH67" i="34"/>
  <c r="QG65" i="34"/>
  <c r="QE67" i="34"/>
  <c r="QK67" i="34"/>
  <c r="QC67" i="34"/>
  <c r="QJ67" i="34"/>
  <c r="QI67" i="34"/>
  <c r="QF67" i="34"/>
  <c r="QF68" i="34"/>
  <c r="QK68" i="34"/>
  <c r="QC68" i="34"/>
  <c r="QJ68" i="34"/>
  <c r="QI68" i="34"/>
  <c r="QG68" i="34"/>
  <c r="QH65" i="34"/>
  <c r="QE65" i="34"/>
  <c r="QD67" i="34"/>
  <c r="QD65" i="34"/>
  <c r="QG67" i="34"/>
  <c r="QD68" i="34"/>
  <c r="QE68" i="34"/>
  <c r="QG56" i="34"/>
  <c r="QH56" i="34"/>
  <c r="QE56" i="34"/>
  <c r="QD56" i="34"/>
  <c r="QF56" i="34"/>
  <c r="QK56" i="34"/>
  <c r="QC56" i="34"/>
  <c r="QJ56" i="34"/>
  <c r="QI56" i="34"/>
  <c r="QD55" i="34"/>
  <c r="QK55" i="34"/>
  <c r="QC55" i="34"/>
  <c r="QJ55" i="34"/>
  <c r="QI55" i="34"/>
  <c r="QF55" i="34"/>
  <c r="QG55" i="34"/>
  <c r="QH55" i="34"/>
  <c r="QE55" i="34"/>
  <c r="M103" i="34"/>
  <c r="M101" i="34"/>
  <c r="W108" i="34"/>
  <c r="W93" i="34"/>
  <c r="W102" i="34"/>
  <c r="M102" i="34"/>
  <c r="W110" i="34"/>
  <c r="M98" i="34"/>
  <c r="M93" i="34"/>
  <c r="W90" i="34"/>
  <c r="W103" i="34"/>
  <c r="M110" i="34"/>
  <c r="M109" i="34"/>
  <c r="W100" i="34"/>
  <c r="M100" i="34"/>
  <c r="W109" i="34"/>
  <c r="M90" i="34"/>
  <c r="W98" i="34"/>
  <c r="M89" i="34"/>
  <c r="W89" i="34"/>
  <c r="M96" i="34"/>
  <c r="W107" i="34"/>
  <c r="M104" i="34"/>
  <c r="M99" i="34"/>
  <c r="M94" i="34"/>
  <c r="W104" i="34"/>
  <c r="W99" i="34"/>
  <c r="M107" i="34"/>
  <c r="W94" i="34"/>
  <c r="M108" i="34"/>
  <c r="M92" i="34"/>
  <c r="R109" i="34"/>
  <c r="M95" i="34"/>
  <c r="W95" i="34"/>
  <c r="W86" i="34"/>
  <c r="O88" i="34"/>
  <c r="Q88" i="34" s="1"/>
  <c r="O95" i="34"/>
  <c r="Q95" i="34" s="1"/>
  <c r="O86" i="34"/>
  <c r="Q86" i="34" s="1"/>
  <c r="O107" i="34"/>
  <c r="Q107" i="34" s="1"/>
  <c r="O97" i="34"/>
  <c r="Q97" i="34" s="1"/>
  <c r="O87" i="34"/>
  <c r="Q87" i="34" s="1"/>
  <c r="O105" i="34"/>
  <c r="Q105" i="34" s="1"/>
  <c r="O93" i="34"/>
  <c r="Q93" i="34" s="1"/>
  <c r="O92" i="34"/>
  <c r="Q92" i="34" s="1"/>
  <c r="O101" i="34"/>
  <c r="Q101" i="34" s="1"/>
  <c r="O96" i="34"/>
  <c r="Q96" i="34" s="1"/>
  <c r="O103" i="34"/>
  <c r="Q103" i="34" s="1"/>
  <c r="O102" i="34"/>
  <c r="Q102" i="34" s="1"/>
  <c r="O100" i="34"/>
  <c r="Q100" i="34" s="1"/>
  <c r="W96" i="34"/>
  <c r="M87" i="34"/>
  <c r="M88" i="34"/>
  <c r="W87" i="34"/>
  <c r="O94" i="34"/>
  <c r="Q94" i="34" s="1"/>
  <c r="W88" i="34"/>
  <c r="O106" i="34"/>
  <c r="Q106" i="34" s="1"/>
  <c r="W91" i="34"/>
  <c r="O89" i="34"/>
  <c r="Q89" i="34" s="1"/>
  <c r="O91" i="34"/>
  <c r="Q91" i="34" s="1"/>
  <c r="O108" i="34"/>
  <c r="Q108" i="34" s="1"/>
  <c r="O104" i="34"/>
  <c r="Q104" i="34" s="1"/>
  <c r="M91" i="34"/>
  <c r="W92" i="34"/>
  <c r="O90" i="34"/>
  <c r="Q90" i="34" s="1"/>
  <c r="O99" i="34"/>
  <c r="Q99" i="34" s="1"/>
  <c r="O98" i="34"/>
  <c r="Q98" i="34" s="1"/>
  <c r="E23" i="33"/>
  <c r="E11" i="33"/>
  <c r="TY66" i="34" l="1"/>
  <c r="TB66" i="34"/>
  <c r="SV73" i="34"/>
  <c r="TF66" i="34"/>
  <c r="TG73" i="34"/>
  <c r="SZ75" i="34"/>
  <c r="TC74" i="34"/>
  <c r="TB64" i="34"/>
  <c r="TV64" i="34"/>
  <c r="SW73" i="34"/>
  <c r="TD71" i="34"/>
  <c r="SS71" i="34"/>
  <c r="QN102" i="34"/>
  <c r="TX71" i="34"/>
  <c r="TB74" i="34"/>
  <c r="UA66" i="34"/>
  <c r="SR73" i="34"/>
  <c r="TW71" i="34"/>
  <c r="SW66" i="34"/>
  <c r="SU71" i="34"/>
  <c r="TH66" i="34"/>
  <c r="TB73" i="34"/>
  <c r="TJ71" i="34"/>
  <c r="QP102" i="34"/>
  <c r="TX66" i="34"/>
  <c r="SR66" i="34"/>
  <c r="TL66" i="34"/>
  <c r="TP73" i="34"/>
  <c r="QL95" i="34"/>
  <c r="QL124" i="34" s="1"/>
  <c r="TS66" i="34"/>
  <c r="SW70" i="34"/>
  <c r="SY66" i="34"/>
  <c r="TQ73" i="34"/>
  <c r="TW73" i="34"/>
  <c r="SY70" i="34"/>
  <c r="SR74" i="34"/>
  <c r="TN73" i="34"/>
  <c r="TL73" i="34"/>
  <c r="TE70" i="34"/>
  <c r="TB69" i="34"/>
  <c r="SS73" i="34"/>
  <c r="TC73" i="34"/>
  <c r="TO73" i="34"/>
  <c r="TE73" i="34"/>
  <c r="TT66" i="34"/>
  <c r="UB66" i="34"/>
  <c r="UC66" i="34"/>
  <c r="SR70" i="34"/>
  <c r="ST73" i="34"/>
  <c r="UB73" i="34"/>
  <c r="TF73" i="34"/>
  <c r="UD71" i="34"/>
  <c r="TL70" i="34"/>
  <c r="TV70" i="34"/>
  <c r="TH73" i="34"/>
  <c r="TO66" i="34"/>
  <c r="SY64" i="34"/>
  <c r="QP99" i="34"/>
  <c r="QP128" i="34" s="1"/>
  <c r="SS65" i="34"/>
  <c r="TR73" i="34"/>
  <c r="SY73" i="34"/>
  <c r="TS64" i="34"/>
  <c r="TO70" i="34"/>
  <c r="TY73" i="34"/>
  <c r="TZ66" i="34"/>
  <c r="TZ73" i="34"/>
  <c r="SV77" i="34"/>
  <c r="TG71" i="34"/>
  <c r="SY77" i="34"/>
  <c r="TL74" i="34"/>
  <c r="TN70" i="34"/>
  <c r="SZ70" i="34"/>
  <c r="UA71" i="34"/>
  <c r="TT70" i="34"/>
  <c r="TL69" i="34"/>
  <c r="TV69" i="34"/>
  <c r="QE92" i="34"/>
  <c r="QE121" i="34" s="1"/>
  <c r="TQ71" i="34"/>
  <c r="TR70" i="34"/>
  <c r="UD70" i="34"/>
  <c r="UA73" i="34"/>
  <c r="TV66" i="34"/>
  <c r="TI66" i="34"/>
  <c r="TX73" i="34"/>
  <c r="TP70" i="34"/>
  <c r="TD73" i="34"/>
  <c r="RF59" i="34"/>
  <c r="RK59" i="34"/>
  <c r="RH59" i="34"/>
  <c r="RJ59" i="34"/>
  <c r="RD59" i="34"/>
  <c r="RU59" i="34"/>
  <c r="SE59" i="34"/>
  <c r="SO59" i="34"/>
  <c r="QP100" i="34"/>
  <c r="TZ70" i="34"/>
  <c r="QN99" i="34"/>
  <c r="QN128" i="34" s="1"/>
  <c r="SR64" i="34"/>
  <c r="TI64" i="34"/>
  <c r="QL99" i="34"/>
  <c r="QL128" i="34" s="1"/>
  <c r="TB70" i="34"/>
  <c r="TM66" i="34"/>
  <c r="TJ73" i="34"/>
  <c r="TE71" i="34"/>
  <c r="TM73" i="34"/>
  <c r="TM71" i="34"/>
  <c r="SV66" i="34"/>
  <c r="RI59" i="34"/>
  <c r="TC71" i="34"/>
  <c r="SU74" i="34"/>
  <c r="SM59" i="34"/>
  <c r="QZ59" i="34"/>
  <c r="RG59" i="34"/>
  <c r="SB59" i="34"/>
  <c r="QW59" i="34"/>
  <c r="SD59" i="34"/>
  <c r="SL59" i="34"/>
  <c r="QH59" i="34"/>
  <c r="RR59" i="34"/>
  <c r="SI59" i="34"/>
  <c r="RY59" i="34"/>
  <c r="RQ59" i="34"/>
  <c r="RZ59" i="34"/>
  <c r="QG59" i="34"/>
  <c r="QI59" i="34"/>
  <c r="QF59" i="34"/>
  <c r="QO59" i="34"/>
  <c r="QR59" i="34"/>
  <c r="QC59" i="34"/>
  <c r="QT59" i="34"/>
  <c r="QN59" i="34"/>
  <c r="QJ59" i="34"/>
  <c r="SG59" i="34"/>
  <c r="SJ59" i="34"/>
  <c r="QP59" i="34"/>
  <c r="RM59" i="34"/>
  <c r="RO59" i="34"/>
  <c r="QD59" i="34"/>
  <c r="RT59" i="34"/>
  <c r="QU59" i="34"/>
  <c r="RX59" i="34"/>
  <c r="SA59" i="34"/>
  <c r="RN59" i="34"/>
  <c r="QY59" i="34"/>
  <c r="SC59" i="34"/>
  <c r="SN59" i="34"/>
  <c r="RP59" i="34"/>
  <c r="QV59" i="34"/>
  <c r="SK59" i="34"/>
  <c r="RE59" i="34"/>
  <c r="RS59" i="34"/>
  <c r="QM59" i="34"/>
  <c r="QK59" i="34"/>
  <c r="RC59" i="34"/>
  <c r="QL59" i="34"/>
  <c r="QS59" i="34"/>
  <c r="RW59" i="34"/>
  <c r="QE59" i="34"/>
  <c r="QX59" i="34"/>
  <c r="SH59" i="34"/>
  <c r="TC66" i="34"/>
  <c r="TB71" i="34"/>
  <c r="SV70" i="34"/>
  <c r="TR66" i="34"/>
  <c r="QP106" i="34"/>
  <c r="TZ64" i="34"/>
  <c r="SS64" i="34"/>
  <c r="TW66" i="34"/>
  <c r="QP95" i="34"/>
  <c r="QP124" i="34" s="1"/>
  <c r="SW71" i="34"/>
  <c r="UD73" i="34"/>
  <c r="SU73" i="34"/>
  <c r="TE66" i="34"/>
  <c r="SS66" i="34"/>
  <c r="TT69" i="34"/>
  <c r="QE98" i="34"/>
  <c r="QE127" i="34" s="1"/>
  <c r="UC75" i="34"/>
  <c r="TY70" i="34"/>
  <c r="SS70" i="34"/>
  <c r="SU70" i="34"/>
  <c r="TF70" i="34"/>
  <c r="TS75" i="34"/>
  <c r="QJ99" i="34"/>
  <c r="QJ128" i="34" s="1"/>
  <c r="SW72" i="34"/>
  <c r="TI73" i="34"/>
  <c r="SY69" i="34"/>
  <c r="ST71" i="34"/>
  <c r="TS73" i="34"/>
  <c r="QH100" i="34"/>
  <c r="QN95" i="34"/>
  <c r="QN124" i="34" s="1"/>
  <c r="UD66" i="34"/>
  <c r="TT73" i="34"/>
  <c r="UC73" i="34"/>
  <c r="QZ102" i="34"/>
  <c r="UC71" i="34"/>
  <c r="TI71" i="34"/>
  <c r="QH99" i="34"/>
  <c r="QH128" i="34" s="1"/>
  <c r="SW52" i="34"/>
  <c r="TV73" i="34"/>
  <c r="SZ73" i="34"/>
  <c r="SY71" i="34"/>
  <c r="QE102" i="34"/>
  <c r="QJ95" i="34"/>
  <c r="QJ124" i="34" s="1"/>
  <c r="QH95" i="34"/>
  <c r="QH124" i="34" s="1"/>
  <c r="QH102" i="34"/>
  <c r="TF74" i="34"/>
  <c r="QL102" i="34"/>
  <c r="SU77" i="34"/>
  <c r="TX64" i="34"/>
  <c r="TH69" i="34"/>
  <c r="TC69" i="34"/>
  <c r="SV64" i="34"/>
  <c r="QP103" i="34"/>
  <c r="TI70" i="34"/>
  <c r="SZ71" i="34"/>
  <c r="ST66" i="34"/>
  <c r="TN66" i="34"/>
  <c r="QJ93" i="34"/>
  <c r="QJ122" i="34" s="1"/>
  <c r="UA67" i="34"/>
  <c r="TM69" i="34"/>
  <c r="UC69" i="34"/>
  <c r="SW74" i="34"/>
  <c r="TH74" i="34"/>
  <c r="ST77" i="34"/>
  <c r="SX63" i="34"/>
  <c r="ST67" i="34"/>
  <c r="TV74" i="34"/>
  <c r="TE74" i="34"/>
  <c r="TO71" i="34"/>
  <c r="TY71" i="34"/>
  <c r="TP74" i="34"/>
  <c r="TG74" i="34"/>
  <c r="SW65" i="34"/>
  <c r="TJ70" i="34"/>
  <c r="SW77" i="34"/>
  <c r="TQ75" i="34"/>
  <c r="ST70" i="34"/>
  <c r="TV71" i="34"/>
  <c r="TL71" i="34"/>
  <c r="SU63" i="34"/>
  <c r="SZ67" i="34"/>
  <c r="QN103" i="34"/>
  <c r="QE100" i="34"/>
  <c r="ST64" i="34"/>
  <c r="SZ77" i="34"/>
  <c r="TH64" i="34"/>
  <c r="TM64" i="34"/>
  <c r="TS70" i="34"/>
  <c r="UC70" i="34"/>
  <c r="SR71" i="34"/>
  <c r="TH70" i="34"/>
  <c r="SV75" i="34"/>
  <c r="TG66" i="34"/>
  <c r="SU76" i="34"/>
  <c r="SW76" i="34"/>
  <c r="SU69" i="34"/>
  <c r="TF71" i="34"/>
  <c r="QL94" i="34"/>
  <c r="QL123" i="34" s="1"/>
  <c r="SS76" i="34"/>
  <c r="SY63" i="34"/>
  <c r="TQ70" i="34"/>
  <c r="TW74" i="34"/>
  <c r="QJ102" i="34"/>
  <c r="TQ66" i="34"/>
  <c r="TN71" i="34"/>
  <c r="QJ100" i="34"/>
  <c r="QE95" i="34"/>
  <c r="QE124" i="34" s="1"/>
  <c r="TF62" i="34"/>
  <c r="SZ56" i="34"/>
  <c r="TN61" i="34"/>
  <c r="TQ67" i="34"/>
  <c r="SS77" i="34"/>
  <c r="TC75" i="34"/>
  <c r="SY75" i="34"/>
  <c r="TX75" i="34"/>
  <c r="UA75" i="34"/>
  <c r="TG75" i="34"/>
  <c r="TP64" i="34"/>
  <c r="SX75" i="34"/>
  <c r="UC64" i="34"/>
  <c r="QL103" i="34"/>
  <c r="SV74" i="34"/>
  <c r="TH77" i="34"/>
  <c r="SZ72" i="34"/>
  <c r="QN98" i="34"/>
  <c r="QN127" i="34" s="1"/>
  <c r="TE64" i="34"/>
  <c r="TJ69" i="34"/>
  <c r="TJ66" i="34"/>
  <c r="UB70" i="34"/>
  <c r="TO75" i="34"/>
  <c r="QL97" i="34"/>
  <c r="QL126" i="34" s="1"/>
  <c r="SX70" i="34"/>
  <c r="SS74" i="34"/>
  <c r="SZ66" i="34"/>
  <c r="QL106" i="34"/>
  <c r="SZ52" i="34"/>
  <c r="TZ74" i="34"/>
  <c r="QZ95" i="34"/>
  <c r="QZ124" i="34" s="1"/>
  <c r="TM74" i="34"/>
  <c r="SX53" i="34"/>
  <c r="SX62" i="34"/>
  <c r="TC53" i="34"/>
  <c r="SS53" i="34"/>
  <c r="TW53" i="34"/>
  <c r="TM53" i="34"/>
  <c r="TG64" i="34"/>
  <c r="TQ74" i="34"/>
  <c r="TO74" i="34"/>
  <c r="QN100" i="34"/>
  <c r="SX69" i="34"/>
  <c r="UD52" i="34"/>
  <c r="UB52" i="34"/>
  <c r="TG67" i="34"/>
  <c r="TI75" i="34"/>
  <c r="SV62" i="34"/>
  <c r="SW62" i="34"/>
  <c r="TG62" i="34"/>
  <c r="SV53" i="34"/>
  <c r="SU58" i="34"/>
  <c r="TV62" i="34"/>
  <c r="QL98" i="34"/>
  <c r="QL127" i="34" s="1"/>
  <c r="SY76" i="34"/>
  <c r="SW67" i="34"/>
  <c r="SW68" i="34"/>
  <c r="TO64" i="34"/>
  <c r="UD69" i="34"/>
  <c r="TT74" i="34"/>
  <c r="QE99" i="34"/>
  <c r="QE128" i="34" s="1"/>
  <c r="QH93" i="34"/>
  <c r="QH122" i="34" s="1"/>
  <c r="TR71" i="34"/>
  <c r="QP104" i="34"/>
  <c r="QP98" i="34"/>
  <c r="QP127" i="34" s="1"/>
  <c r="TF69" i="34"/>
  <c r="QL101" i="34"/>
  <c r="TJ52" i="34"/>
  <c r="TH52" i="34"/>
  <c r="TY74" i="34"/>
  <c r="SY58" i="34"/>
  <c r="TJ62" i="34"/>
  <c r="UA58" i="34"/>
  <c r="TL62" i="34"/>
  <c r="TD57" i="34"/>
  <c r="ST58" i="34"/>
  <c r="SX58" i="34"/>
  <c r="TN62" i="34"/>
  <c r="SW53" i="34"/>
  <c r="TB62" i="34"/>
  <c r="TF58" i="34"/>
  <c r="QP91" i="34"/>
  <c r="QP120" i="34" s="1"/>
  <c r="UA62" i="34"/>
  <c r="SY62" i="34"/>
  <c r="TH58" i="34"/>
  <c r="TL58" i="34"/>
  <c r="TQ62" i="34"/>
  <c r="TD58" i="34"/>
  <c r="TV58" i="34"/>
  <c r="TD61" i="34"/>
  <c r="TD53" i="34"/>
  <c r="ST61" i="34"/>
  <c r="ST62" i="34"/>
  <c r="QE86" i="34"/>
  <c r="QE115" i="34" s="1"/>
  <c r="TX62" i="34"/>
  <c r="SW58" i="34"/>
  <c r="TZ62" i="34"/>
  <c r="QN91" i="34"/>
  <c r="QN120" i="34" s="1"/>
  <c r="TS62" i="34"/>
  <c r="SR58" i="34"/>
  <c r="TI62" i="34"/>
  <c r="TO62" i="34"/>
  <c r="TO61" i="34"/>
  <c r="TD62" i="34"/>
  <c r="UC62" i="34"/>
  <c r="TY62" i="34"/>
  <c r="SR62" i="34"/>
  <c r="SU62" i="34"/>
  <c r="QH91" i="34"/>
  <c r="QH120" i="34" s="1"/>
  <c r="TE62" i="34"/>
  <c r="SZ58" i="34"/>
  <c r="TC61" i="34"/>
  <c r="SR53" i="34"/>
  <c r="TJ61" i="34"/>
  <c r="UA61" i="34"/>
  <c r="TP62" i="34"/>
  <c r="SX61" i="34"/>
  <c r="TP61" i="34"/>
  <c r="TM62" i="34"/>
  <c r="TB58" i="34"/>
  <c r="UD61" i="34"/>
  <c r="UD62" i="34"/>
  <c r="SZ62" i="34"/>
  <c r="TT61" i="34"/>
  <c r="TE61" i="34"/>
  <c r="SW61" i="34"/>
  <c r="TC57" i="34"/>
  <c r="TT62" i="34"/>
  <c r="QZ91" i="34"/>
  <c r="QZ120" i="34" s="1"/>
  <c r="SX55" i="34"/>
  <c r="TQ61" i="34"/>
  <c r="TY61" i="34"/>
  <c r="SU61" i="34"/>
  <c r="TG61" i="34"/>
  <c r="SZ61" i="34"/>
  <c r="UD53" i="34"/>
  <c r="TW62" i="34"/>
  <c r="QE91" i="34"/>
  <c r="QE120" i="34" s="1"/>
  <c r="UB58" i="34"/>
  <c r="TH62" i="34"/>
  <c r="TR62" i="34"/>
  <c r="QJ91" i="34"/>
  <c r="QJ120" i="34" s="1"/>
  <c r="SX57" i="34"/>
  <c r="SR61" i="34"/>
  <c r="QL82" i="34"/>
  <c r="QL111" i="34" s="1"/>
  <c r="TC62" i="34"/>
  <c r="UB62" i="34"/>
  <c r="SS61" i="34"/>
  <c r="SS62" i="34"/>
  <c r="SZ53" i="34"/>
  <c r="TV53" i="34"/>
  <c r="TX57" i="34"/>
  <c r="UB61" i="34"/>
  <c r="TJ53" i="34"/>
  <c r="UB57" i="34"/>
  <c r="QH90" i="34"/>
  <c r="QH119" i="34" s="1"/>
  <c r="SW55" i="34"/>
  <c r="TB53" i="34"/>
  <c r="TT53" i="34"/>
  <c r="TR61" i="34"/>
  <c r="TL53" i="34"/>
  <c r="SR56" i="34"/>
  <c r="TR58" i="34"/>
  <c r="TF61" i="34"/>
  <c r="TT58" i="34"/>
  <c r="QE90" i="34"/>
  <c r="QE119" i="34" s="1"/>
  <c r="TL61" i="34"/>
  <c r="SW57" i="34"/>
  <c r="QE87" i="34"/>
  <c r="QE116" i="34" s="1"/>
  <c r="TB61" i="34"/>
  <c r="TH61" i="34"/>
  <c r="SY57" i="34"/>
  <c r="TJ58" i="34"/>
  <c r="TP57" i="34"/>
  <c r="TG55" i="34"/>
  <c r="TV61" i="34"/>
  <c r="QH87" i="34"/>
  <c r="QH116" i="34" s="1"/>
  <c r="TG58" i="34"/>
  <c r="TQ58" i="34"/>
  <c r="SV61" i="34"/>
  <c r="TS57" i="34"/>
  <c r="TX61" i="34"/>
  <c r="TN58" i="34"/>
  <c r="SV58" i="34"/>
  <c r="TH71" i="34"/>
  <c r="TX70" i="34"/>
  <c r="TW70" i="34"/>
  <c r="UC63" i="34"/>
  <c r="QE93" i="34"/>
  <c r="QE122" i="34" s="1"/>
  <c r="TH75" i="34"/>
  <c r="QL104" i="34"/>
  <c r="SR69" i="34"/>
  <c r="QE103" i="34"/>
  <c r="SW75" i="34"/>
  <c r="TP71" i="34"/>
  <c r="SZ69" i="34"/>
  <c r="SX71" i="34"/>
  <c r="QZ99" i="34"/>
  <c r="QZ128" i="34" s="1"/>
  <c r="TQ64" i="34"/>
  <c r="UB71" i="34"/>
  <c r="TZ61" i="34"/>
  <c r="QL100" i="34"/>
  <c r="QL91" i="34"/>
  <c r="QL120" i="34" s="1"/>
  <c r="TM70" i="34"/>
  <c r="SW69" i="34"/>
  <c r="TI57" i="34"/>
  <c r="TX58" i="34"/>
  <c r="TG70" i="34"/>
  <c r="SS63" i="34"/>
  <c r="QZ100" i="34"/>
  <c r="SV71" i="34"/>
  <c r="TC70" i="34"/>
  <c r="TG52" i="34"/>
  <c r="TS74" i="34"/>
  <c r="SX74" i="34"/>
  <c r="TT64" i="34"/>
  <c r="SS69" i="34"/>
  <c r="TD74" i="34"/>
  <c r="QJ103" i="34"/>
  <c r="TG69" i="34"/>
  <c r="QH103" i="34"/>
  <c r="TZ71" i="34"/>
  <c r="SV63" i="34"/>
  <c r="TY53" i="34"/>
  <c r="TD70" i="34"/>
  <c r="UD64" i="34"/>
  <c r="SS75" i="34"/>
  <c r="TW61" i="34"/>
  <c r="TN64" i="34"/>
  <c r="TW63" i="34"/>
  <c r="TC58" i="34"/>
  <c r="TW69" i="34"/>
  <c r="SS57" i="34"/>
  <c r="TH57" i="34"/>
  <c r="ST76" i="34"/>
  <c r="TQ57" i="34"/>
  <c r="TW75" i="34"/>
  <c r="TG57" i="34"/>
  <c r="TZ69" i="34"/>
  <c r="UC57" i="34"/>
  <c r="TQ69" i="34"/>
  <c r="TX74" i="34"/>
  <c r="SZ64" i="34"/>
  <c r="SY74" i="34"/>
  <c r="UC74" i="34"/>
  <c r="TE54" i="34"/>
  <c r="UC61" i="34"/>
  <c r="TM75" i="34"/>
  <c r="TQ56" i="34"/>
  <c r="TT77" i="34"/>
  <c r="QZ103" i="34"/>
  <c r="SX76" i="34"/>
  <c r="TW64" i="34"/>
  <c r="QH104" i="34"/>
  <c r="TZ57" i="34"/>
  <c r="TI69" i="34"/>
  <c r="TI74" i="34"/>
  <c r="SX54" i="34"/>
  <c r="SZ65" i="34"/>
  <c r="TN69" i="34"/>
  <c r="TP69" i="34"/>
  <c r="TN57" i="34"/>
  <c r="SU75" i="34"/>
  <c r="TW72" i="34"/>
  <c r="TD52" i="34"/>
  <c r="TR74" i="34"/>
  <c r="TJ64" i="34"/>
  <c r="UA56" i="34"/>
  <c r="TL75" i="34"/>
  <c r="TC64" i="34"/>
  <c r="UB74" i="34"/>
  <c r="ST52" i="34"/>
  <c r="TN52" i="34"/>
  <c r="TR77" i="34"/>
  <c r="TN68" i="34"/>
  <c r="SV57" i="34"/>
  <c r="UA57" i="34"/>
  <c r="SR75" i="34"/>
  <c r="QL96" i="34"/>
  <c r="QL125" i="34" s="1"/>
  <c r="TC72" i="34"/>
  <c r="SV55" i="34"/>
  <c r="ST74" i="34"/>
  <c r="SR65" i="34"/>
  <c r="UA74" i="34"/>
  <c r="QE84" i="34"/>
  <c r="QE113" i="34" s="1"/>
  <c r="QZ86" i="34"/>
  <c r="QZ115" i="34" s="1"/>
  <c r="TT75" i="34"/>
  <c r="SS54" i="34"/>
  <c r="TS67" i="34"/>
  <c r="TH68" i="34"/>
  <c r="TF64" i="34"/>
  <c r="UD74" i="34"/>
  <c r="SV65" i="34"/>
  <c r="SV67" i="34"/>
  <c r="TD67" i="34"/>
  <c r="TF55" i="34"/>
  <c r="TV65" i="34"/>
  <c r="TF67" i="34"/>
  <c r="SV69" i="34"/>
  <c r="UD76" i="34"/>
  <c r="SY61" i="34"/>
  <c r="TW57" i="34"/>
  <c r="QL92" i="34"/>
  <c r="QL121" i="34" s="1"/>
  <c r="QZ104" i="34"/>
  <c r="SW63" i="34"/>
  <c r="UD58" i="34"/>
  <c r="TC76" i="34"/>
  <c r="ST65" i="34"/>
  <c r="TS69" i="34"/>
  <c r="SZ54" i="34"/>
  <c r="TF57" i="34"/>
  <c r="SZ55" i="34"/>
  <c r="ST55" i="34"/>
  <c r="TX65" i="34"/>
  <c r="QP90" i="34"/>
  <c r="QP119" i="34" s="1"/>
  <c r="TY64" i="34"/>
  <c r="UA69" i="34"/>
  <c r="TJ74" i="34"/>
  <c r="SZ74" i="34"/>
  <c r="TY75" i="34"/>
  <c r="TC54" i="34"/>
  <c r="SX72" i="34"/>
  <c r="QP101" i="34"/>
  <c r="SY65" i="34"/>
  <c r="TZ63" i="34"/>
  <c r="QL93" i="34"/>
  <c r="QL122" i="34" s="1"/>
  <c r="TM76" i="34"/>
  <c r="TF76" i="34"/>
  <c r="TF63" i="34"/>
  <c r="TS63" i="34"/>
  <c r="UB69" i="34"/>
  <c r="TO69" i="34"/>
  <c r="TE75" i="34"/>
  <c r="QE85" i="34"/>
  <c r="QE114" i="34" s="1"/>
  <c r="TO53" i="34"/>
  <c r="SZ57" i="34"/>
  <c r="TD75" i="34"/>
  <c r="TG63" i="34"/>
  <c r="TJ72" i="34"/>
  <c r="SV56" i="34"/>
  <c r="TE57" i="34"/>
  <c r="TW76" i="34"/>
  <c r="SS56" i="34"/>
  <c r="QJ84" i="34"/>
  <c r="QJ113" i="34" s="1"/>
  <c r="QH94" i="34"/>
  <c r="QH123" i="34" s="1"/>
  <c r="QE83" i="34"/>
  <c r="QE112" i="34" s="1"/>
  <c r="QH106" i="34"/>
  <c r="TL64" i="34"/>
  <c r="TM57" i="34"/>
  <c r="QP105" i="34"/>
  <c r="QE82" i="34"/>
  <c r="QE111" i="34" s="1"/>
  <c r="TX67" i="34"/>
  <c r="TL65" i="34"/>
  <c r="TI63" i="34"/>
  <c r="UD56" i="34"/>
  <c r="TV75" i="34"/>
  <c r="TO57" i="34"/>
  <c r="TB75" i="34"/>
  <c r="SU57" i="34"/>
  <c r="QJ87" i="34"/>
  <c r="QJ116" i="34" s="1"/>
  <c r="TM61" i="34"/>
  <c r="QN90" i="34"/>
  <c r="QN119" i="34" s="1"/>
  <c r="SW54" i="34"/>
  <c r="TZ58" i="34"/>
  <c r="UD55" i="34"/>
  <c r="TN55" i="34"/>
  <c r="TJ56" i="34"/>
  <c r="QN86" i="34"/>
  <c r="QN115" i="34" s="1"/>
  <c r="QP83" i="34"/>
  <c r="QP112" i="34" s="1"/>
  <c r="UC53" i="34"/>
  <c r="TX55" i="34"/>
  <c r="QJ90" i="34"/>
  <c r="QJ119" i="34" s="1"/>
  <c r="QJ82" i="34"/>
  <c r="QJ111" i="34" s="1"/>
  <c r="TL57" i="34"/>
  <c r="TE55" i="34"/>
  <c r="TS53" i="34"/>
  <c r="TX53" i="34"/>
  <c r="QJ86" i="34"/>
  <c r="QJ115" i="34" s="1"/>
  <c r="QN82" i="34"/>
  <c r="QN111" i="34" s="1"/>
  <c r="TP55" i="34"/>
  <c r="TB55" i="34"/>
  <c r="TO55" i="34"/>
  <c r="TI53" i="34"/>
  <c r="TN53" i="34"/>
  <c r="TP56" i="34"/>
  <c r="SY53" i="34"/>
  <c r="QL84" i="34"/>
  <c r="QL113" i="34" s="1"/>
  <c r="TV54" i="34"/>
  <c r="ST53" i="34"/>
  <c r="SU55" i="34"/>
  <c r="TW56" i="34"/>
  <c r="TL56" i="34"/>
  <c r="TY57" i="34"/>
  <c r="TT52" i="34"/>
  <c r="TR52" i="34"/>
  <c r="TF75" i="34"/>
  <c r="QJ97" i="34"/>
  <c r="QJ126" i="34" s="1"/>
  <c r="QE94" i="34"/>
  <c r="QE123" i="34" s="1"/>
  <c r="QJ81" i="34"/>
  <c r="QJ110" i="34" s="1"/>
  <c r="QP81" i="34"/>
  <c r="QP110" i="34" s="1"/>
  <c r="QL105" i="34"/>
  <c r="QL90" i="34"/>
  <c r="QL119" i="34" s="1"/>
  <c r="QP86" i="34"/>
  <c r="QP115" i="34" s="1"/>
  <c r="TM54" i="34"/>
  <c r="ST63" i="34"/>
  <c r="UB53" i="34"/>
  <c r="TX63" i="34"/>
  <c r="TC63" i="34"/>
  <c r="UD63" i="34"/>
  <c r="TD69" i="34"/>
  <c r="SZ76" i="34"/>
  <c r="SY68" i="34"/>
  <c r="TP58" i="34"/>
  <c r="TN67" i="34"/>
  <c r="TL68" i="34"/>
  <c r="SY55" i="34"/>
  <c r="QP94" i="34"/>
  <c r="QP123" i="34" s="1"/>
  <c r="TY55" i="34"/>
  <c r="UD77" i="34"/>
  <c r="TI72" i="34"/>
  <c r="UB67" i="34"/>
  <c r="TD55" i="34"/>
  <c r="SX65" i="34"/>
  <c r="TT56" i="34"/>
  <c r="UC58" i="34"/>
  <c r="TR69" i="34"/>
  <c r="UD75" i="34"/>
  <c r="TR75" i="34"/>
  <c r="TR53" i="34"/>
  <c r="SZ63" i="34"/>
  <c r="TL76" i="34"/>
  <c r="TN63" i="34"/>
  <c r="TT63" i="34"/>
  <c r="SS68" i="34"/>
  <c r="TP77" i="34"/>
  <c r="UC72" i="34"/>
  <c r="SX67" i="34"/>
  <c r="TR67" i="34"/>
  <c r="TO72" i="34"/>
  <c r="TI58" i="34"/>
  <c r="QN87" i="34"/>
  <c r="QN116" i="34" s="1"/>
  <c r="TM68" i="34"/>
  <c r="UB64" i="34"/>
  <c r="TJ75" i="34"/>
  <c r="TN75" i="34"/>
  <c r="ST75" i="34"/>
  <c r="QE81" i="34"/>
  <c r="QE110" i="34" s="1"/>
  <c r="TH53" i="34"/>
  <c r="TX54" i="34"/>
  <c r="TQ77" i="34"/>
  <c r="TD63" i="34"/>
  <c r="SY72" i="34"/>
  <c r="TR76" i="34"/>
  <c r="QP97" i="34"/>
  <c r="QP126" i="34" s="1"/>
  <c r="QN94" i="34"/>
  <c r="QN123" i="34" s="1"/>
  <c r="TS72" i="34"/>
  <c r="TH67" i="34"/>
  <c r="UB55" i="34"/>
  <c r="TS58" i="34"/>
  <c r="TR64" i="34"/>
  <c r="ST57" i="34"/>
  <c r="QH98" i="34"/>
  <c r="QH127" i="34" s="1"/>
  <c r="QN104" i="34"/>
  <c r="SU64" i="34"/>
  <c r="UA64" i="34"/>
  <c r="QL81" i="34"/>
  <c r="QL110" i="34" s="1"/>
  <c r="QE101" i="34"/>
  <c r="TM72" i="34"/>
  <c r="QZ90" i="34"/>
  <c r="QZ119" i="34" s="1"/>
  <c r="TN54" i="34"/>
  <c r="UA77" i="34"/>
  <c r="UC76" i="34"/>
  <c r="TV76" i="34"/>
  <c r="SR68" i="34"/>
  <c r="ST54" i="34"/>
  <c r="UC54" i="34"/>
  <c r="TC52" i="34"/>
  <c r="TY77" i="34"/>
  <c r="TR54" i="34"/>
  <c r="QZ93" i="34"/>
  <c r="QZ122" i="34" s="1"/>
  <c r="UB76" i="34"/>
  <c r="TZ65" i="34"/>
  <c r="UC68" i="34"/>
  <c r="ST56" i="34"/>
  <c r="TD56" i="34"/>
  <c r="UC56" i="34"/>
  <c r="TY63" i="34"/>
  <c r="TH55" i="34"/>
  <c r="TR65" i="34"/>
  <c r="UA68" i="34"/>
  <c r="TT68" i="34"/>
  <c r="TX69" i="34"/>
  <c r="SX64" i="34"/>
  <c r="TD54" i="34"/>
  <c r="TG77" i="34"/>
  <c r="TS61" i="34"/>
  <c r="ST69" i="34"/>
  <c r="TO54" i="34"/>
  <c r="SS52" i="34"/>
  <c r="QN106" i="34"/>
  <c r="TQ52" i="34"/>
  <c r="TT54" i="34"/>
  <c r="TH76" i="34"/>
  <c r="TP65" i="34"/>
  <c r="TS68" i="34"/>
  <c r="SR55" i="34"/>
  <c r="TX56" i="34"/>
  <c r="TZ68" i="34"/>
  <c r="QN97" i="34"/>
  <c r="QN126" i="34" s="1"/>
  <c r="TI56" i="34"/>
  <c r="TJ65" i="34"/>
  <c r="TY68" i="34"/>
  <c r="TI55" i="34"/>
  <c r="TO63" i="34"/>
  <c r="TR72" i="34"/>
  <c r="TZ67" i="34"/>
  <c r="TV67" i="34"/>
  <c r="UC65" i="34"/>
  <c r="TR55" i="34"/>
  <c r="TW77" i="34"/>
  <c r="TE76" i="34"/>
  <c r="TZ56" i="34"/>
  <c r="TZ53" i="34"/>
  <c r="QZ87" i="34"/>
  <c r="QZ116" i="34" s="1"/>
  <c r="TQ68" i="34"/>
  <c r="TJ68" i="34"/>
  <c r="TY69" i="34"/>
  <c r="QE104" i="34"/>
  <c r="QZ98" i="34"/>
  <c r="QZ127" i="34" s="1"/>
  <c r="QL85" i="34"/>
  <c r="QL114" i="34" s="1"/>
  <c r="TZ75" i="34"/>
  <c r="UB68" i="34"/>
  <c r="TZ76" i="34"/>
  <c r="QN93" i="34"/>
  <c r="QN122" i="34" s="1"/>
  <c r="TP75" i="34"/>
  <c r="UA76" i="34"/>
  <c r="SU72" i="34"/>
  <c r="TI54" i="34"/>
  <c r="TM52" i="34"/>
  <c r="TT76" i="34"/>
  <c r="UB54" i="34"/>
  <c r="UA52" i="34"/>
  <c r="TF65" i="34"/>
  <c r="TI68" i="34"/>
  <c r="TJ55" i="34"/>
  <c r="TE56" i="34"/>
  <c r="TP68" i="34"/>
  <c r="TS56" i="34"/>
  <c r="UA63" i="34"/>
  <c r="UD72" i="34"/>
  <c r="TJ77" i="34"/>
  <c r="TE63" i="34"/>
  <c r="TM77" i="34"/>
  <c r="SZ68" i="34"/>
  <c r="TF56" i="34"/>
  <c r="QP87" i="34"/>
  <c r="QP116" i="34" s="1"/>
  <c r="TD65" i="34"/>
  <c r="TG68" i="34"/>
  <c r="UD68" i="34"/>
  <c r="QJ104" i="34"/>
  <c r="TE69" i="34"/>
  <c r="TB54" i="34"/>
  <c r="TW54" i="34"/>
  <c r="TF77" i="34"/>
  <c r="TR68" i="34"/>
  <c r="SR57" i="34"/>
  <c r="TQ53" i="34"/>
  <c r="QZ92" i="34"/>
  <c r="QZ121" i="34" s="1"/>
  <c r="TX52" i="34"/>
  <c r="SY54" i="34"/>
  <c r="TW52" i="34"/>
  <c r="TJ63" i="34"/>
  <c r="UD54" i="34"/>
  <c r="TF68" i="34"/>
  <c r="TB68" i="34"/>
  <c r="TE68" i="34"/>
  <c r="TH72" i="34"/>
  <c r="TB67" i="34"/>
  <c r="TI65" i="34"/>
  <c r="TC77" i="34"/>
  <c r="TO76" i="34"/>
  <c r="SR67" i="34"/>
  <c r="UB75" i="34"/>
  <c r="SW64" i="34"/>
  <c r="QH84" i="34"/>
  <c r="QH113" i="34" s="1"/>
  <c r="QE96" i="34"/>
  <c r="QE125" i="34" s="1"/>
  <c r="QJ83" i="34"/>
  <c r="QJ112" i="34" s="1"/>
  <c r="QH105" i="34"/>
  <c r="QL86" i="34"/>
  <c r="QL115" i="34" s="1"/>
  <c r="TY52" i="34"/>
  <c r="QZ83" i="34"/>
  <c r="QZ112" i="34" s="1"/>
  <c r="TE58" i="34"/>
  <c r="TS77" i="34"/>
  <c r="TQ72" i="34"/>
  <c r="SV54" i="34"/>
  <c r="QZ105" i="34"/>
  <c r="TI67" i="34"/>
  <c r="TZ77" i="34"/>
  <c r="ST72" i="34"/>
  <c r="TG53" i="34"/>
  <c r="TV63" i="34"/>
  <c r="TF52" i="34"/>
  <c r="TP76" i="34"/>
  <c r="TS54" i="34"/>
  <c r="UB63" i="34"/>
  <c r="TE77" i="34"/>
  <c r="TH54" i="34"/>
  <c r="QP93" i="34"/>
  <c r="QP122" i="34" s="1"/>
  <c r="TT57" i="34"/>
  <c r="TZ54" i="34"/>
  <c r="TF72" i="34"/>
  <c r="QH82" i="34"/>
  <c r="QH111" i="34" s="1"/>
  <c r="TI52" i="34"/>
  <c r="TD68" i="34"/>
  <c r="QZ96" i="34"/>
  <c r="QZ125" i="34" s="1"/>
  <c r="TT55" i="34"/>
  <c r="QP84" i="34"/>
  <c r="QP113" i="34" s="1"/>
  <c r="UB56" i="34"/>
  <c r="TO56" i="34"/>
  <c r="TI61" i="34"/>
  <c r="TW67" i="34"/>
  <c r="TB65" i="34"/>
  <c r="TO68" i="34"/>
  <c r="TG76" i="34"/>
  <c r="TG56" i="34"/>
  <c r="TQ63" i="34"/>
  <c r="TT72" i="34"/>
  <c r="SY52" i="34"/>
  <c r="UB72" i="34"/>
  <c r="TP67" i="34"/>
  <c r="TL67" i="34"/>
  <c r="TS65" i="34"/>
  <c r="TR57" i="34"/>
  <c r="TY76" i="34"/>
  <c r="TX72" i="34"/>
  <c r="TY65" i="34"/>
  <c r="TB56" i="34"/>
  <c r="SU67" i="34"/>
  <c r="TC68" i="34"/>
  <c r="TW55" i="34"/>
  <c r="QL83" i="34"/>
  <c r="QL112" i="34" s="1"/>
  <c r="TO52" i="34"/>
  <c r="TL63" i="34"/>
  <c r="TR63" i="34"/>
  <c r="UD57" i="34"/>
  <c r="TP54" i="34"/>
  <c r="TZ72" i="34"/>
  <c r="TH56" i="34"/>
  <c r="UB77" i="34"/>
  <c r="TM67" i="34"/>
  <c r="SR63" i="34"/>
  <c r="TN72" i="34"/>
  <c r="TO65" i="34"/>
  <c r="QP85" i="34"/>
  <c r="QP114" i="34" s="1"/>
  <c r="TM58" i="34"/>
  <c r="QZ97" i="34"/>
  <c r="QZ126" i="34" s="1"/>
  <c r="SY56" i="34"/>
  <c r="TC55" i="34"/>
  <c r="QZ101" i="34"/>
  <c r="QJ106" i="34"/>
  <c r="QJ92" i="34"/>
  <c r="QJ121" i="34" s="1"/>
  <c r="QH83" i="34"/>
  <c r="QH112" i="34" s="1"/>
  <c r="TY58" i="34"/>
  <c r="TD76" i="34"/>
  <c r="QN101" i="34"/>
  <c r="TB52" i="34"/>
  <c r="TO67" i="34"/>
  <c r="SX56" i="34"/>
  <c r="SU53" i="34"/>
  <c r="QP82" i="34"/>
  <c r="QP111" i="34" s="1"/>
  <c r="QP92" i="34"/>
  <c r="QP121" i="34" s="1"/>
  <c r="TP52" i="34"/>
  <c r="TH63" i="34"/>
  <c r="UD67" i="34"/>
  <c r="TJ57" i="34"/>
  <c r="TF54" i="34"/>
  <c r="TM65" i="34"/>
  <c r="TS52" i="34"/>
  <c r="TX68" i="34"/>
  <c r="QN84" i="34"/>
  <c r="QN113" i="34" s="1"/>
  <c r="TR56" i="34"/>
  <c r="TX77" i="34"/>
  <c r="TC67" i="34"/>
  <c r="UA65" i="34"/>
  <c r="SW56" i="34"/>
  <c r="TC56" i="34"/>
  <c r="SV68" i="34"/>
  <c r="SV52" i="34"/>
  <c r="TD72" i="34"/>
  <c r="TE65" i="34"/>
  <c r="QN85" i="34"/>
  <c r="QN114" i="34" s="1"/>
  <c r="TN65" i="34"/>
  <c r="TW68" i="34"/>
  <c r="SU56" i="34"/>
  <c r="TM55" i="34"/>
  <c r="TN77" i="34"/>
  <c r="TO58" i="34"/>
  <c r="TN76" i="34"/>
  <c r="QZ81" i="34"/>
  <c r="QZ110" i="34" s="1"/>
  <c r="TE67" i="34"/>
  <c r="TZ52" i="34"/>
  <c r="QE106" i="34"/>
  <c r="QH86" i="34"/>
  <c r="QH115" i="34" s="1"/>
  <c r="TT67" i="34"/>
  <c r="SV76" i="34"/>
  <c r="TD77" i="34"/>
  <c r="TC65" i="34"/>
  <c r="UC52" i="34"/>
  <c r="SS67" i="34"/>
  <c r="TQ65" i="34"/>
  <c r="SU68" i="34"/>
  <c r="TW58" i="34"/>
  <c r="ST68" i="34"/>
  <c r="QE97" i="34"/>
  <c r="QE126" i="34" s="1"/>
  <c r="QN81" i="34"/>
  <c r="QN110" i="34" s="1"/>
  <c r="QJ101" i="34"/>
  <c r="QJ105" i="34"/>
  <c r="SR54" i="34"/>
  <c r="TV57" i="34"/>
  <c r="TL54" i="34"/>
  <c r="TI76" i="34"/>
  <c r="TV77" i="34"/>
  <c r="TX76" i="34"/>
  <c r="TV72" i="34"/>
  <c r="TL52" i="34"/>
  <c r="TB76" i="34"/>
  <c r="TY67" i="34"/>
  <c r="TB63" i="34"/>
  <c r="TY54" i="34"/>
  <c r="TP63" i="34"/>
  <c r="SX77" i="34"/>
  <c r="TJ76" i="34"/>
  <c r="TJ67" i="34"/>
  <c r="TM63" i="34"/>
  <c r="TQ54" i="34"/>
  <c r="TJ54" i="34"/>
  <c r="TW65" i="34"/>
  <c r="QZ94" i="34"/>
  <c r="QZ123" i="34" s="1"/>
  <c r="TZ55" i="34"/>
  <c r="TL55" i="34"/>
  <c r="TN56" i="34"/>
  <c r="TV68" i="34"/>
  <c r="UD65" i="34"/>
  <c r="TG65" i="34"/>
  <c r="UC55" i="34"/>
  <c r="TM56" i="34"/>
  <c r="QP96" i="34"/>
  <c r="QP125" i="34" s="1"/>
  <c r="TY72" i="34"/>
  <c r="QZ85" i="34"/>
  <c r="QZ114" i="34" s="1"/>
  <c r="TV56" i="34"/>
  <c r="TF53" i="34"/>
  <c r="QL87" i="34"/>
  <c r="QL116" i="34" s="1"/>
  <c r="UB65" i="34"/>
  <c r="TQ55" i="34"/>
  <c r="QH85" i="34"/>
  <c r="QH114" i="34" s="1"/>
  <c r="QH97" i="34"/>
  <c r="QH126" i="34" s="1"/>
  <c r="QH101" i="34"/>
  <c r="QH96" i="34"/>
  <c r="QH125" i="34" s="1"/>
  <c r="QJ94" i="34"/>
  <c r="QJ123" i="34" s="1"/>
  <c r="QH92" i="34"/>
  <c r="QH121" i="34" s="1"/>
  <c r="QH81" i="34"/>
  <c r="QH110" i="34" s="1"/>
  <c r="SV72" i="34"/>
  <c r="TL77" i="34"/>
  <c r="TB57" i="34"/>
  <c r="UC77" i="34"/>
  <c r="TS76" i="34"/>
  <c r="TG72" i="34"/>
  <c r="TL72" i="34"/>
  <c r="TV52" i="34"/>
  <c r="TB77" i="34"/>
  <c r="QN92" i="34"/>
  <c r="QN121" i="34" s="1"/>
  <c r="SR76" i="34"/>
  <c r="UA54" i="34"/>
  <c r="SS72" i="34"/>
  <c r="TQ76" i="34"/>
  <c r="QZ82" i="34"/>
  <c r="QZ111" i="34" s="1"/>
  <c r="SX52" i="34"/>
  <c r="SS58" i="34"/>
  <c r="QJ85" i="34"/>
  <c r="QJ114" i="34" s="1"/>
  <c r="QJ96" i="34"/>
  <c r="QJ125" i="34" s="1"/>
  <c r="QE105" i="34"/>
  <c r="TE52" i="34"/>
  <c r="QZ106" i="34"/>
  <c r="QN83" i="34"/>
  <c r="QN112" i="34" s="1"/>
  <c r="TI77" i="34"/>
  <c r="UA72" i="34"/>
  <c r="TB72" i="34"/>
  <c r="QN105" i="34"/>
  <c r="UC67" i="34"/>
  <c r="UA53" i="34"/>
  <c r="SU54" i="34"/>
  <c r="TO77" i="34"/>
  <c r="SR72" i="34"/>
  <c r="TG54" i="34"/>
  <c r="TP72" i="34"/>
  <c r="SU52" i="34"/>
  <c r="SX68" i="34"/>
  <c r="TE53" i="34"/>
  <c r="QZ84" i="34"/>
  <c r="QZ113" i="34" s="1"/>
  <c r="TV55" i="34"/>
  <c r="TY56" i="34"/>
  <c r="SU65" i="34"/>
  <c r="SY67" i="34"/>
  <c r="TT65" i="34"/>
  <c r="TS55" i="34"/>
  <c r="SR52" i="34"/>
  <c r="QN96" i="34"/>
  <c r="QN125" i="34" s="1"/>
  <c r="TE72" i="34"/>
  <c r="SS55" i="34"/>
  <c r="TP53" i="34"/>
  <c r="TH65" i="34"/>
  <c r="UA55" i="34"/>
  <c r="O110" i="34"/>
  <c r="Q110" i="34" s="1"/>
  <c r="O109" i="34"/>
  <c r="Q109" i="34" s="1"/>
  <c r="S109" i="34"/>
  <c r="U50" i="12"/>
  <c r="U49" i="12"/>
  <c r="U48" i="12"/>
  <c r="U47" i="12"/>
  <c r="U46" i="12"/>
  <c r="U45" i="12"/>
  <c r="U44" i="12"/>
  <c r="U43" i="12"/>
  <c r="U42" i="12"/>
  <c r="U41" i="12"/>
  <c r="U40" i="12"/>
  <c r="U39" i="12"/>
  <c r="U38" i="12"/>
  <c r="U37" i="12"/>
  <c r="U36" i="12"/>
  <c r="U35" i="12"/>
  <c r="U34" i="12"/>
  <c r="U33" i="12"/>
  <c r="U32" i="12"/>
  <c r="U31" i="12"/>
  <c r="U30" i="12"/>
  <c r="U29" i="12"/>
  <c r="U28" i="12"/>
  <c r="U27" i="12"/>
  <c r="U26" i="12"/>
  <c r="E21" i="12"/>
  <c r="F92" i="32"/>
  <c r="G95" i="32"/>
  <c r="F106" i="32" s="1"/>
  <c r="K105" i="32"/>
  <c r="R106" i="32"/>
  <c r="F111" i="32"/>
  <c r="H87" i="32"/>
  <c r="K92" i="32" s="1"/>
  <c r="R93" i="32" s="1"/>
  <c r="H102" i="32"/>
  <c r="I62" i="32"/>
  <c r="F35" i="32"/>
  <c r="D31" i="32"/>
  <c r="C31" i="32"/>
  <c r="Y42" i="32"/>
  <c r="Y43" i="32"/>
  <c r="Y44" i="32"/>
  <c r="Y45" i="32"/>
  <c r="Y46" i="32"/>
  <c r="Y47" i="32"/>
  <c r="Y48" i="32"/>
  <c r="Y41" i="32"/>
  <c r="W41" i="32"/>
  <c r="W42" i="32"/>
  <c r="W43" i="32"/>
  <c r="W44" i="32"/>
  <c r="W45" i="32"/>
  <c r="W46" i="32"/>
  <c r="W47" i="32"/>
  <c r="W48" i="32"/>
  <c r="W40" i="32"/>
  <c r="D16" i="32"/>
  <c r="TB59" i="34" l="1"/>
  <c r="O121" i="34" s="1"/>
  <c r="F123" i="34" s="1"/>
  <c r="R136" i="34" s="1"/>
  <c r="SU59" i="34"/>
  <c r="R120" i="34" s="1"/>
  <c r="I122" i="34" s="1"/>
  <c r="SS59" i="34"/>
  <c r="P120" i="34" s="1"/>
  <c r="F128" i="34" s="1"/>
  <c r="SW59" i="34"/>
  <c r="T120" i="34" s="1"/>
  <c r="I134" i="34" s="1"/>
  <c r="SY59" i="34"/>
  <c r="V120" i="34" s="1"/>
  <c r="L128" i="34" s="1"/>
  <c r="UB59" i="34"/>
  <c r="U123" i="34" s="1"/>
  <c r="L125" i="34" s="1"/>
  <c r="U138" i="34" s="1"/>
  <c r="UD59" i="34"/>
  <c r="W123" i="34" s="1"/>
  <c r="L137" i="34" s="1"/>
  <c r="U144" i="34" s="1"/>
  <c r="UA59" i="34"/>
  <c r="T123" i="34" s="1"/>
  <c r="I137" i="34" s="1"/>
  <c r="TT59" i="34"/>
  <c r="W122" i="34" s="1"/>
  <c r="L136" i="34" s="1"/>
  <c r="U143" i="34" s="1"/>
  <c r="SZ59" i="34"/>
  <c r="W120" i="34" s="1"/>
  <c r="L134" i="34" s="1"/>
  <c r="U141" i="34" s="1"/>
  <c r="TJ59" i="34"/>
  <c r="W121" i="34" s="1"/>
  <c r="L135" i="34" s="1"/>
  <c r="AE132" i="34" s="1"/>
  <c r="AG132" i="34" s="1"/>
  <c r="TQ59" i="34"/>
  <c r="T122" i="34" s="1"/>
  <c r="I136" i="34" s="1"/>
  <c r="TG59" i="34"/>
  <c r="T121" i="34" s="1"/>
  <c r="I135" i="34" s="1"/>
  <c r="TF59" i="34"/>
  <c r="S121" i="34" s="1"/>
  <c r="I129" i="34" s="1"/>
  <c r="TS59" i="34"/>
  <c r="V122" i="34" s="1"/>
  <c r="L130" i="34" s="1"/>
  <c r="TL59" i="34"/>
  <c r="O122" i="34" s="1"/>
  <c r="F124" i="34" s="1"/>
  <c r="R137" i="34" s="1"/>
  <c r="TV59" i="34"/>
  <c r="O123" i="34" s="1"/>
  <c r="F125" i="34" s="1"/>
  <c r="R138" i="34" s="1"/>
  <c r="SR59" i="34"/>
  <c r="O120" i="34" s="1"/>
  <c r="F122" i="34" s="1"/>
  <c r="R135" i="34" s="1"/>
  <c r="TN59" i="34"/>
  <c r="Q122" i="34" s="1"/>
  <c r="F136" i="34" s="1"/>
  <c r="R143" i="34" s="1"/>
  <c r="TI59" i="34"/>
  <c r="V121" i="34" s="1"/>
  <c r="L129" i="34" s="1"/>
  <c r="UC59" i="34"/>
  <c r="V123" i="34" s="1"/>
  <c r="L131" i="34" s="1"/>
  <c r="QP88" i="34"/>
  <c r="QP117" i="34" s="1"/>
  <c r="TM59" i="34"/>
  <c r="P122" i="34" s="1"/>
  <c r="F130" i="34" s="1"/>
  <c r="QH88" i="34"/>
  <c r="QH117" i="34" s="1"/>
  <c r="QJ88" i="34"/>
  <c r="QJ117" i="34" s="1"/>
  <c r="TW59" i="34"/>
  <c r="P123" i="34" s="1"/>
  <c r="F131" i="34" s="1"/>
  <c r="TZ59" i="34"/>
  <c r="S123" i="34" s="1"/>
  <c r="I131" i="34" s="1"/>
  <c r="QN88" i="34"/>
  <c r="QN117" i="34" s="1"/>
  <c r="QL88" i="34"/>
  <c r="QL117" i="34" s="1"/>
  <c r="TD59" i="34"/>
  <c r="Q121" i="34" s="1"/>
  <c r="F135" i="34" s="1"/>
  <c r="R142" i="34" s="1"/>
  <c r="TO59" i="34"/>
  <c r="R122" i="34" s="1"/>
  <c r="I124" i="34" s="1"/>
  <c r="TE59" i="34"/>
  <c r="R121" i="34" s="1"/>
  <c r="I123" i="34" s="1"/>
  <c r="TY59" i="34"/>
  <c r="R123" i="34" s="1"/>
  <c r="I125" i="34" s="1"/>
  <c r="TX59" i="34"/>
  <c r="Q123" i="34" s="1"/>
  <c r="F137" i="34" s="1"/>
  <c r="R144" i="34" s="1"/>
  <c r="SV59" i="34"/>
  <c r="S120" i="34" s="1"/>
  <c r="I128" i="34" s="1"/>
  <c r="TC59" i="34"/>
  <c r="P121" i="34" s="1"/>
  <c r="F129" i="34" s="1"/>
  <c r="QE88" i="34"/>
  <c r="QE117" i="34" s="1"/>
  <c r="ST59" i="34"/>
  <c r="Q120" i="34" s="1"/>
  <c r="F134" i="34" s="1"/>
  <c r="R141" i="34" s="1"/>
  <c r="TH59" i="34"/>
  <c r="U121" i="34" s="1"/>
  <c r="L123" i="34" s="1"/>
  <c r="U136" i="34" s="1"/>
  <c r="TP59" i="34"/>
  <c r="S122" i="34" s="1"/>
  <c r="I130" i="34" s="1"/>
  <c r="SX59" i="34"/>
  <c r="U120" i="34" s="1"/>
  <c r="L122" i="34" s="1"/>
  <c r="U135" i="34" s="1"/>
  <c r="QZ88" i="34"/>
  <c r="QZ117" i="34" s="1"/>
  <c r="TR59" i="34"/>
  <c r="U122" i="34" s="1"/>
  <c r="L124" i="34" s="1"/>
  <c r="U137" i="34" s="1"/>
  <c r="T109" i="34"/>
  <c r="S110" i="34" s="1"/>
  <c r="E111" i="32"/>
  <c r="D16" i="11"/>
  <c r="AE60" i="32"/>
  <c r="AE59" i="32"/>
  <c r="AE58" i="32"/>
  <c r="AE57" i="32"/>
  <c r="AE56" i="32"/>
  <c r="AE55" i="32"/>
  <c r="AE54" i="32"/>
  <c r="AE53" i="32"/>
  <c r="AE52" i="32"/>
  <c r="AE51" i="32"/>
  <c r="AE50" i="32"/>
  <c r="AE49" i="32"/>
  <c r="AE48" i="32"/>
  <c r="AE47" i="32"/>
  <c r="AE46" i="32"/>
  <c r="AE45" i="32"/>
  <c r="AG84" i="32"/>
  <c r="AL84" i="32" s="1"/>
  <c r="AG83" i="32"/>
  <c r="AN83" i="32" s="1"/>
  <c r="AO83" i="32" s="1"/>
  <c r="AG82" i="32"/>
  <c r="AN82" i="32" s="1"/>
  <c r="AO82" i="32" s="1"/>
  <c r="AG81" i="32"/>
  <c r="AN81" i="32" s="1"/>
  <c r="AO81" i="32" s="1"/>
  <c r="AG80" i="32"/>
  <c r="AL80" i="32" s="1"/>
  <c r="AG79" i="32"/>
  <c r="AN79" i="32" s="1"/>
  <c r="AO79" i="32" s="1"/>
  <c r="AG78" i="32"/>
  <c r="AG77" i="32"/>
  <c r="AL77" i="32" s="1"/>
  <c r="AG76" i="32"/>
  <c r="AG75" i="32"/>
  <c r="AL75" i="32" s="1"/>
  <c r="AG74" i="32"/>
  <c r="AN74" i="32" s="1"/>
  <c r="AO74" i="32" s="1"/>
  <c r="AG73" i="32"/>
  <c r="AN73" i="32" s="1"/>
  <c r="AO73" i="32" s="1"/>
  <c r="AG72" i="32"/>
  <c r="AN72" i="32" s="1"/>
  <c r="AO72" i="32" s="1"/>
  <c r="AG71" i="32"/>
  <c r="AN71" i="32" s="1"/>
  <c r="AO71" i="32" s="1"/>
  <c r="AG70" i="32"/>
  <c r="AL70" i="32" s="1"/>
  <c r="AG69" i="32"/>
  <c r="AL69" i="32" s="1"/>
  <c r="AL81" i="32"/>
  <c r="AL79" i="32"/>
  <c r="AL73" i="32"/>
  <c r="AL46" i="32"/>
  <c r="AM46" i="32" s="1"/>
  <c r="AL47" i="32"/>
  <c r="AM47" i="32" s="1"/>
  <c r="AL48" i="32"/>
  <c r="AM48" i="32" s="1"/>
  <c r="AL49" i="32"/>
  <c r="AM49" i="32" s="1"/>
  <c r="AL50" i="32"/>
  <c r="AM50" i="32" s="1"/>
  <c r="AL51" i="32"/>
  <c r="AM51" i="32" s="1"/>
  <c r="AL52" i="32"/>
  <c r="AM52" i="32" s="1"/>
  <c r="AL53" i="32"/>
  <c r="AM53" i="32" s="1"/>
  <c r="AL54" i="32"/>
  <c r="AM54" i="32" s="1"/>
  <c r="AL55" i="32"/>
  <c r="AM55" i="32" s="1"/>
  <c r="AL56" i="32"/>
  <c r="AM56" i="32" s="1"/>
  <c r="AL57" i="32"/>
  <c r="AM57" i="32" s="1"/>
  <c r="AL58" i="32"/>
  <c r="AM58" i="32" s="1"/>
  <c r="AL59" i="32"/>
  <c r="AM59" i="32" s="1"/>
  <c r="AL60" i="32"/>
  <c r="AM60" i="32" s="1"/>
  <c r="AL45" i="32"/>
  <c r="AL64" i="32" s="1"/>
  <c r="AG64" i="32"/>
  <c r="AG63" i="32"/>
  <c r="AS51" i="32"/>
  <c r="AS47" i="32"/>
  <c r="AR42" i="32"/>
  <c r="AR40" i="32"/>
  <c r="M30" i="32"/>
  <c r="L30" i="32"/>
  <c r="I30" i="32"/>
  <c r="M29" i="32"/>
  <c r="L29" i="32"/>
  <c r="I29" i="32"/>
  <c r="F29" i="32"/>
  <c r="H29" i="32" s="1"/>
  <c r="X48" i="32" s="1"/>
  <c r="Z48" i="32" s="1"/>
  <c r="E29" i="32"/>
  <c r="M28" i="32"/>
  <c r="L28" i="32"/>
  <c r="I28" i="32"/>
  <c r="F28" i="32"/>
  <c r="H28" i="32" s="1"/>
  <c r="X47" i="32" s="1"/>
  <c r="Z47" i="32" s="1"/>
  <c r="E28" i="32"/>
  <c r="M27" i="32"/>
  <c r="L27" i="32"/>
  <c r="I27" i="32"/>
  <c r="F27" i="32"/>
  <c r="H27" i="32" s="1"/>
  <c r="X46" i="32" s="1"/>
  <c r="Z46" i="32" s="1"/>
  <c r="E27" i="32"/>
  <c r="M26" i="32"/>
  <c r="L26" i="32"/>
  <c r="I26" i="32"/>
  <c r="F26" i="32"/>
  <c r="H26" i="32" s="1"/>
  <c r="X45" i="32" s="1"/>
  <c r="Z45" i="32" s="1"/>
  <c r="E26" i="32"/>
  <c r="M25" i="32"/>
  <c r="L25" i="32"/>
  <c r="I25" i="32"/>
  <c r="F25" i="32"/>
  <c r="H25" i="32" s="1"/>
  <c r="E25" i="32"/>
  <c r="F62" i="32" s="1"/>
  <c r="M24" i="32"/>
  <c r="L24" i="32"/>
  <c r="I24" i="32"/>
  <c r="F24" i="32"/>
  <c r="H24" i="32" s="1"/>
  <c r="X43" i="32" s="1"/>
  <c r="Z43" i="32" s="1"/>
  <c r="E24" i="32"/>
  <c r="M23" i="32"/>
  <c r="L23" i="32"/>
  <c r="I23" i="32"/>
  <c r="F23" i="32"/>
  <c r="H23" i="32" s="1"/>
  <c r="X42" i="32" s="1"/>
  <c r="Z42" i="32" s="1"/>
  <c r="E23" i="32"/>
  <c r="M22" i="32"/>
  <c r="L22" i="32"/>
  <c r="I22" i="32"/>
  <c r="F22" i="32"/>
  <c r="E22" i="32"/>
  <c r="I21" i="32"/>
  <c r="F21" i="32"/>
  <c r="E21" i="32"/>
  <c r="M20" i="32"/>
  <c r="L20" i="32"/>
  <c r="R45" i="10"/>
  <c r="AE63" i="32" l="1"/>
  <c r="U142" i="34"/>
  <c r="AN69" i="32"/>
  <c r="AO69" i="32" s="1"/>
  <c r="AG88" i="32"/>
  <c r="AN75" i="32"/>
  <c r="AO75" i="32" s="1"/>
  <c r="AE64" i="32"/>
  <c r="AL83" i="32"/>
  <c r="H62" i="32"/>
  <c r="X44" i="32"/>
  <c r="Z44" i="32" s="1"/>
  <c r="J62" i="32"/>
  <c r="R63" i="32" s="1"/>
  <c r="AM45" i="32"/>
  <c r="AM64" i="32" s="1"/>
  <c r="AL71" i="32"/>
  <c r="AN80" i="32"/>
  <c r="AO80" i="32" s="1"/>
  <c r="AG87" i="32"/>
  <c r="H22" i="32"/>
  <c r="X41" i="32" s="1"/>
  <c r="Z41" i="32" s="1"/>
  <c r="I31" i="32"/>
  <c r="G28" i="32"/>
  <c r="G22" i="32"/>
  <c r="AK42" i="32"/>
  <c r="AI82" i="32"/>
  <c r="AH82" i="32" s="1"/>
  <c r="AI77" i="32"/>
  <c r="AH77" i="32" s="1"/>
  <c r="AI83" i="32"/>
  <c r="AH83" i="32" s="1"/>
  <c r="AI72" i="32"/>
  <c r="AH72" i="32" s="1"/>
  <c r="AI81" i="32"/>
  <c r="AH81" i="32" s="1"/>
  <c r="AI75" i="32"/>
  <c r="AH75" i="32" s="1"/>
  <c r="G24" i="32"/>
  <c r="G27" i="32"/>
  <c r="G29" i="32"/>
  <c r="G23" i="32"/>
  <c r="G26" i="32"/>
  <c r="G25" i="32"/>
  <c r="AK72" i="32"/>
  <c r="AJ72" i="32" s="1"/>
  <c r="AI71" i="32"/>
  <c r="AH71" i="32" s="1"/>
  <c r="AK75" i="32"/>
  <c r="AJ75" i="32" s="1"/>
  <c r="AK78" i="32"/>
  <c r="AJ78" i="32" s="1"/>
  <c r="AI74" i="32"/>
  <c r="AH74" i="32" s="1"/>
  <c r="AI79" i="32"/>
  <c r="AH79" i="32" s="1"/>
  <c r="AK74" i="32"/>
  <c r="AJ74" i="32" s="1"/>
  <c r="AK79" i="32"/>
  <c r="AJ79" i="32" s="1"/>
  <c r="AI76" i="32"/>
  <c r="AH76" i="32" s="1"/>
  <c r="AI73" i="32"/>
  <c r="AH73" i="32" s="1"/>
  <c r="AI80" i="32"/>
  <c r="AH80" i="32" s="1"/>
  <c r="AK83" i="32"/>
  <c r="AJ83" i="32" s="1"/>
  <c r="AI78" i="32"/>
  <c r="AH78" i="32" s="1"/>
  <c r="AK73" i="32"/>
  <c r="AJ73" i="32" s="1"/>
  <c r="AK71" i="32"/>
  <c r="AJ71" i="32" s="1"/>
  <c r="AK81" i="32"/>
  <c r="AJ81" i="32" s="1"/>
  <c r="AK76" i="32"/>
  <c r="AJ76" i="32" s="1"/>
  <c r="AL72" i="32"/>
  <c r="AL76" i="32"/>
  <c r="AN84" i="32"/>
  <c r="AN76" i="32"/>
  <c r="AO76" i="32" s="1"/>
  <c r="AN77" i="32"/>
  <c r="AO77" i="32" s="1"/>
  <c r="AK80" i="32"/>
  <c r="AJ80" i="32" s="1"/>
  <c r="AL78" i="32"/>
  <c r="AL74" i="32"/>
  <c r="AK77" i="32"/>
  <c r="AJ77" i="32" s="1"/>
  <c r="AN78" i="32"/>
  <c r="AO78" i="32" s="1"/>
  <c r="AK70" i="32"/>
  <c r="AJ70" i="32" s="1"/>
  <c r="AI70" i="32"/>
  <c r="AH70" i="32" s="1"/>
  <c r="AN70" i="32"/>
  <c r="AO70" i="32" s="1"/>
  <c r="AK82" i="32"/>
  <c r="AJ82" i="32" s="1"/>
  <c r="AI84" i="32"/>
  <c r="AL82" i="32"/>
  <c r="AK84" i="32"/>
  <c r="AI69" i="32"/>
  <c r="AK69" i="32"/>
  <c r="AL63" i="32"/>
  <c r="J23" i="32"/>
  <c r="N23" i="32" s="1"/>
  <c r="Q23" i="32" s="1"/>
  <c r="J27" i="32"/>
  <c r="N27" i="32" s="1"/>
  <c r="Q27" i="32" s="1"/>
  <c r="J30" i="32"/>
  <c r="N30" i="32" s="1"/>
  <c r="P30" i="32" s="1"/>
  <c r="J25" i="32"/>
  <c r="N25" i="32" s="1"/>
  <c r="Q25" i="32" s="1"/>
  <c r="J29" i="32"/>
  <c r="N29" i="32" s="1"/>
  <c r="P29" i="32" s="1"/>
  <c r="E35" i="32"/>
  <c r="E31" i="32" s="1"/>
  <c r="F31" i="32"/>
  <c r="H31" i="32" s="1"/>
  <c r="J63" i="32" s="1"/>
  <c r="J22" i="32"/>
  <c r="N22" i="32" s="1"/>
  <c r="P22" i="32" s="1"/>
  <c r="J21" i="32"/>
  <c r="R21" i="32" s="1"/>
  <c r="J24" i="32"/>
  <c r="N24" i="32" s="1"/>
  <c r="P24" i="32" s="1"/>
  <c r="J26" i="32"/>
  <c r="N26" i="32" s="1"/>
  <c r="P26" i="32" s="1"/>
  <c r="J28" i="32"/>
  <c r="N28" i="32" s="1"/>
  <c r="P28" i="32" s="1"/>
  <c r="R64" i="32" l="1"/>
  <c r="R65" i="32" s="1"/>
  <c r="J64" i="32"/>
  <c r="J65" i="32" s="1"/>
  <c r="AI45" i="32"/>
  <c r="AK56" i="32"/>
  <c r="AJ56" i="32" s="1"/>
  <c r="AK50" i="32"/>
  <c r="AJ50" i="32" s="1"/>
  <c r="AK54" i="32"/>
  <c r="AJ54" i="32" s="1"/>
  <c r="AK53" i="32"/>
  <c r="AJ53" i="32" s="1"/>
  <c r="AK49" i="32"/>
  <c r="AJ49" i="32" s="1"/>
  <c r="AK59" i="32"/>
  <c r="AJ59" i="32" s="1"/>
  <c r="AK48" i="32"/>
  <c r="AJ48" i="32" s="1"/>
  <c r="AK58" i="32"/>
  <c r="AJ58" i="32" s="1"/>
  <c r="AK52" i="32"/>
  <c r="AJ52" i="32" s="1"/>
  <c r="AK60" i="32"/>
  <c r="AJ60" i="32" s="1"/>
  <c r="AK57" i="32"/>
  <c r="AJ57" i="32" s="1"/>
  <c r="AK47" i="32"/>
  <c r="AJ47" i="32" s="1"/>
  <c r="AK51" i="32"/>
  <c r="AJ51" i="32" s="1"/>
  <c r="AK55" i="32"/>
  <c r="AJ55" i="32" s="1"/>
  <c r="AK46" i="32"/>
  <c r="AJ46" i="32" s="1"/>
  <c r="AI57" i="32"/>
  <c r="AH57" i="32" s="1"/>
  <c r="AK45" i="32"/>
  <c r="AK64" i="32" s="1"/>
  <c r="R62" i="32"/>
  <c r="Z51" i="32"/>
  <c r="AI53" i="32"/>
  <c r="AH53" i="32" s="1"/>
  <c r="AI54" i="32"/>
  <c r="AH54" i="32" s="1"/>
  <c r="AM63" i="32"/>
  <c r="AI51" i="32"/>
  <c r="AH51" i="32" s="1"/>
  <c r="AI47" i="32"/>
  <c r="AH47" i="32" s="1"/>
  <c r="AI59" i="32"/>
  <c r="AH59" i="32" s="1"/>
  <c r="AI58" i="32"/>
  <c r="AH58" i="32" s="1"/>
  <c r="I32" i="32"/>
  <c r="I33" i="32" s="1"/>
  <c r="F63" i="32"/>
  <c r="F64" i="32" s="1"/>
  <c r="F65" i="32" s="1"/>
  <c r="AI55" i="32"/>
  <c r="AH55" i="32" s="1"/>
  <c r="AI50" i="32"/>
  <c r="AH50" i="32" s="1"/>
  <c r="AV47" i="32"/>
  <c r="AI48" i="32"/>
  <c r="AH48" i="32" s="1"/>
  <c r="AI52" i="32"/>
  <c r="AH52" i="32" s="1"/>
  <c r="AI56" i="32"/>
  <c r="AH56" i="32" s="1"/>
  <c r="AI60" i="32"/>
  <c r="AH60" i="32" s="1"/>
  <c r="AI46" i="32"/>
  <c r="AH46" i="32" s="1"/>
  <c r="AO84" i="32"/>
  <c r="AN87" i="32"/>
  <c r="AI49" i="32"/>
  <c r="AH49" i="32" s="1"/>
  <c r="AN88" i="32"/>
  <c r="Q30" i="32"/>
  <c r="R30" i="32" s="1"/>
  <c r="Q29" i="32"/>
  <c r="R29" i="32" s="1"/>
  <c r="Q28" i="32"/>
  <c r="R28" i="32" s="1"/>
  <c r="P27" i="32"/>
  <c r="R27" i="32" s="1"/>
  <c r="Q24" i="32"/>
  <c r="R24" i="32" s="1"/>
  <c r="P23" i="32"/>
  <c r="R23" i="32" s="1"/>
  <c r="Q22" i="32"/>
  <c r="R22" i="32" s="1"/>
  <c r="Q26" i="32"/>
  <c r="R26" i="32" s="1"/>
  <c r="P25" i="32"/>
  <c r="R25" i="32" s="1"/>
  <c r="AH84" i="32"/>
  <c r="AI87" i="32"/>
  <c r="AJ69" i="32"/>
  <c r="AK88" i="32"/>
  <c r="AH69" i="32"/>
  <c r="AI88" i="32"/>
  <c r="AH45" i="32"/>
  <c r="AJ84" i="32"/>
  <c r="AK87" i="32"/>
  <c r="R32" i="32"/>
  <c r="D64" i="22"/>
  <c r="AI64" i="32" l="1"/>
  <c r="AU47" i="32"/>
  <c r="AK63" i="32"/>
  <c r="AJ45" i="32"/>
  <c r="AU51" i="32" s="1"/>
  <c r="AT47" i="32"/>
  <c r="AI63" i="32"/>
  <c r="AO87" i="32"/>
  <c r="AO88" i="32"/>
  <c r="H63" i="32"/>
  <c r="AJ87" i="32"/>
  <c r="AH87" i="32"/>
  <c r="AJ88" i="32"/>
  <c r="AH64" i="32"/>
  <c r="AT51" i="32"/>
  <c r="AH63" i="32"/>
  <c r="AH88" i="32"/>
  <c r="R33" i="32"/>
  <c r="R95" i="6"/>
  <c r="J12" i="31"/>
  <c r="H31" i="31"/>
  <c r="P95" i="6"/>
  <c r="N95" i="6"/>
  <c r="AD47" i="31"/>
  <c r="I47" i="31"/>
  <c r="AD46" i="31"/>
  <c r="I46" i="31"/>
  <c r="I48" i="31" s="1"/>
  <c r="AD45" i="31"/>
  <c r="AC45" i="31"/>
  <c r="AB45" i="31"/>
  <c r="AA45" i="31"/>
  <c r="M45" i="31"/>
  <c r="L45" i="31"/>
  <c r="I45" i="31"/>
  <c r="H45" i="31"/>
  <c r="G45" i="31"/>
  <c r="Z44" i="31"/>
  <c r="Y44" i="31"/>
  <c r="AB44" i="31" s="1"/>
  <c r="X44" i="31"/>
  <c r="AJ44" i="31" s="1"/>
  <c r="M44" i="31"/>
  <c r="Q44" i="31" s="1"/>
  <c r="L44" i="31"/>
  <c r="I44" i="31"/>
  <c r="J44" i="31" s="1"/>
  <c r="N44" i="31" s="1"/>
  <c r="P44" i="31" s="1"/>
  <c r="H44" i="31"/>
  <c r="G44" i="31"/>
  <c r="AD43" i="31"/>
  <c r="AC43" i="31"/>
  <c r="AB43" i="31"/>
  <c r="AA43" i="31"/>
  <c r="AL44" i="31" s="1"/>
  <c r="M43" i="31"/>
  <c r="L43" i="31"/>
  <c r="I43" i="31"/>
  <c r="H43" i="31"/>
  <c r="G43" i="31"/>
  <c r="Z42" i="31"/>
  <c r="Y42" i="31"/>
  <c r="X42" i="31"/>
  <c r="AJ42" i="31" s="1"/>
  <c r="M42" i="31"/>
  <c r="Q42" i="31" s="1"/>
  <c r="L42" i="31"/>
  <c r="I42" i="31"/>
  <c r="H42" i="31"/>
  <c r="G42" i="31"/>
  <c r="AD41" i="31"/>
  <c r="AC41" i="31"/>
  <c r="AB41" i="31"/>
  <c r="AA41" i="31"/>
  <c r="AL42" i="31" s="1"/>
  <c r="M41" i="31"/>
  <c r="Q41" i="31" s="1"/>
  <c r="L41" i="31"/>
  <c r="I41" i="31"/>
  <c r="H41" i="31"/>
  <c r="G41" i="31"/>
  <c r="AD40" i="31"/>
  <c r="AC40" i="31"/>
  <c r="AB40" i="31"/>
  <c r="AA40" i="31"/>
  <c r="M40" i="31"/>
  <c r="L40" i="31"/>
  <c r="I40" i="31"/>
  <c r="H40" i="31"/>
  <c r="G40" i="31"/>
  <c r="AD39" i="31"/>
  <c r="AC39" i="31"/>
  <c r="AB39" i="31"/>
  <c r="AA39" i="31"/>
  <c r="M39" i="31"/>
  <c r="L39" i="31"/>
  <c r="I39" i="31"/>
  <c r="H39" i="31"/>
  <c r="G39" i="31"/>
  <c r="AD38" i="31"/>
  <c r="AC38" i="31"/>
  <c r="AB38" i="31"/>
  <c r="AA38" i="31"/>
  <c r="M38" i="31"/>
  <c r="L38" i="31"/>
  <c r="I38" i="31"/>
  <c r="H38" i="31"/>
  <c r="G38" i="31"/>
  <c r="Z37" i="31"/>
  <c r="Y37" i="31"/>
  <c r="X37" i="31"/>
  <c r="M37" i="31"/>
  <c r="Q37" i="31" s="1"/>
  <c r="L37" i="31"/>
  <c r="I37" i="31"/>
  <c r="H37" i="31"/>
  <c r="G37" i="31"/>
  <c r="AD36" i="31"/>
  <c r="AC36" i="31"/>
  <c r="AB36" i="31"/>
  <c r="AA36" i="31"/>
  <c r="M36" i="31"/>
  <c r="L36" i="31"/>
  <c r="I36" i="31"/>
  <c r="H36" i="31"/>
  <c r="G36" i="31"/>
  <c r="Z35" i="31"/>
  <c r="Y35" i="31"/>
  <c r="X35" i="31"/>
  <c r="AJ35" i="31" s="1"/>
  <c r="AO35" i="31" s="1"/>
  <c r="M35" i="31"/>
  <c r="Q35" i="31" s="1"/>
  <c r="L35" i="31"/>
  <c r="I35" i="31"/>
  <c r="H35" i="31"/>
  <c r="G35" i="31"/>
  <c r="AD34" i="31"/>
  <c r="AC34" i="31"/>
  <c r="AB34" i="31"/>
  <c r="AA34" i="31"/>
  <c r="M34" i="31"/>
  <c r="L34" i="31"/>
  <c r="I34" i="31"/>
  <c r="H34" i="31"/>
  <c r="G34" i="31"/>
  <c r="Z33" i="31"/>
  <c r="Y33" i="31"/>
  <c r="X33" i="31"/>
  <c r="M33" i="31"/>
  <c r="L33" i="31"/>
  <c r="I33" i="31"/>
  <c r="H33" i="31"/>
  <c r="G33" i="31"/>
  <c r="AD32" i="31"/>
  <c r="AC32" i="31"/>
  <c r="AB32" i="31"/>
  <c r="AA32" i="31"/>
  <c r="M32" i="31"/>
  <c r="L32" i="31"/>
  <c r="I32" i="31"/>
  <c r="H32" i="31"/>
  <c r="G32" i="31"/>
  <c r="X31" i="31"/>
  <c r="AB31" i="31" s="1"/>
  <c r="M31" i="31"/>
  <c r="Q31" i="31" s="1"/>
  <c r="L31" i="31"/>
  <c r="AD30" i="31"/>
  <c r="AE30" i="31" s="1"/>
  <c r="AC30" i="31"/>
  <c r="AB30" i="31"/>
  <c r="AA30" i="31"/>
  <c r="J30" i="31"/>
  <c r="M29" i="31"/>
  <c r="L29" i="31"/>
  <c r="AE23" i="31"/>
  <c r="AE22" i="31"/>
  <c r="AE21" i="31"/>
  <c r="Y21" i="31"/>
  <c r="D20" i="31"/>
  <c r="B14" i="31" a="1"/>
  <c r="B14" i="31" s="1"/>
  <c r="B13" i="31" a="1"/>
  <c r="B13" i="31" s="1"/>
  <c r="B6" i="31" a="1"/>
  <c r="B6" i="31" s="1"/>
  <c r="AE39" i="31" l="1"/>
  <c r="AA33" i="31"/>
  <c r="J37" i="31"/>
  <c r="N37" i="31" s="1"/>
  <c r="AC44" i="31"/>
  <c r="AD37" i="31"/>
  <c r="AE37" i="31" s="1"/>
  <c r="AH37" i="31" s="1"/>
  <c r="AI25" i="31" s="1"/>
  <c r="J41" i="31"/>
  <c r="N41" i="31" s="1"/>
  <c r="AD44" i="31"/>
  <c r="AE44" i="31" s="1"/>
  <c r="AH44" i="31" s="1"/>
  <c r="AE45" i="31"/>
  <c r="AJ63" i="32"/>
  <c r="AJ64" i="32"/>
  <c r="D18" i="31"/>
  <c r="G31" i="31" s="1"/>
  <c r="I31" i="31" s="1"/>
  <c r="AJ31" i="31"/>
  <c r="AO31" i="31" s="1"/>
  <c r="AC33" i="31"/>
  <c r="AD35" i="31"/>
  <c r="AE35" i="31" s="1"/>
  <c r="AH35" i="31" s="1"/>
  <c r="AI24" i="31" s="1"/>
  <c r="AB33" i="31"/>
  <c r="J38" i="31"/>
  <c r="N38" i="31" s="1"/>
  <c r="P38" i="31" s="1"/>
  <c r="AE40" i="31"/>
  <c r="P37" i="31"/>
  <c r="J39" i="31"/>
  <c r="N39" i="31" s="1"/>
  <c r="AD42" i="31"/>
  <c r="AE42" i="31" s="1"/>
  <c r="AH42" i="31" s="1"/>
  <c r="AC35" i="31"/>
  <c r="P39" i="31"/>
  <c r="AE41" i="31"/>
  <c r="AC42" i="31"/>
  <c r="J45" i="31"/>
  <c r="N45" i="31" s="1"/>
  <c r="P45" i="31" s="1"/>
  <c r="AD48" i="31"/>
  <c r="Q39" i="31"/>
  <c r="AC37" i="31"/>
  <c r="J42" i="31"/>
  <c r="N42" i="31" s="1"/>
  <c r="P42" i="31" s="1"/>
  <c r="J33" i="31"/>
  <c r="N33" i="31" s="1"/>
  <c r="Q33" i="31" s="1"/>
  <c r="J34" i="31"/>
  <c r="N34" i="31" s="1"/>
  <c r="Q34" i="31" s="1"/>
  <c r="J35" i="31"/>
  <c r="N35" i="31" s="1"/>
  <c r="P35" i="31" s="1"/>
  <c r="J36" i="31"/>
  <c r="N36" i="31" s="1"/>
  <c r="P36" i="31" s="1"/>
  <c r="J40" i="31"/>
  <c r="N40" i="31" s="1"/>
  <c r="P40" i="31" s="1"/>
  <c r="AI26" i="31"/>
  <c r="AN42" i="31"/>
  <c r="AU42" i="31" s="1"/>
  <c r="AV42" i="31" s="1"/>
  <c r="AI27" i="31"/>
  <c r="AN44" i="31"/>
  <c r="AU44" i="31" s="1"/>
  <c r="AV44" i="31" s="1"/>
  <c r="AS35" i="31"/>
  <c r="P41" i="31"/>
  <c r="P34" i="31"/>
  <c r="AJ33" i="31"/>
  <c r="AO33" i="31" s="1"/>
  <c r="AA35" i="31"/>
  <c r="AB37" i="31"/>
  <c r="AA42" i="31"/>
  <c r="AB35" i="31"/>
  <c r="AC31" i="31"/>
  <c r="AD33" i="31"/>
  <c r="AE33" i="31" s="1"/>
  <c r="AH33" i="31" s="1"/>
  <c r="AI23" i="31" s="1"/>
  <c r="AD31" i="31"/>
  <c r="AJ37" i="31"/>
  <c r="AO37" i="31" s="1"/>
  <c r="AS37" i="31" s="1"/>
  <c r="AA44" i="31"/>
  <c r="AA31" i="31"/>
  <c r="J43" i="31"/>
  <c r="N43" i="31" s="1"/>
  <c r="P43" i="31" s="1"/>
  <c r="AA37" i="31"/>
  <c r="AB42" i="31"/>
  <c r="X42" i="29"/>
  <c r="AJ42" i="29" s="1"/>
  <c r="X40" i="29"/>
  <c r="Z40" i="29"/>
  <c r="Y40" i="29"/>
  <c r="Z42" i="29"/>
  <c r="Y42" i="29"/>
  <c r="Y19" i="29"/>
  <c r="X33" i="29"/>
  <c r="AJ33" i="29" s="1"/>
  <c r="AO33" i="29" s="1"/>
  <c r="X31" i="29"/>
  <c r="Z31" i="29"/>
  <c r="Y31" i="29"/>
  <c r="Z33" i="29"/>
  <c r="Y33" i="29"/>
  <c r="Z35" i="29"/>
  <c r="Y35" i="29"/>
  <c r="X35" i="29"/>
  <c r="AJ35" i="29" s="1"/>
  <c r="AO35" i="29" s="1"/>
  <c r="X29" i="29"/>
  <c r="AD29" i="29" s="1"/>
  <c r="AE21" i="29"/>
  <c r="AE20" i="29"/>
  <c r="AE19" i="29"/>
  <c r="AD44" i="29"/>
  <c r="AD43" i="29"/>
  <c r="AD41" i="29"/>
  <c r="AD39" i="29"/>
  <c r="AD38" i="29"/>
  <c r="AD37" i="29"/>
  <c r="AD36" i="29"/>
  <c r="AD34" i="29"/>
  <c r="AD32" i="29"/>
  <c r="AD30" i="29"/>
  <c r="AD28" i="29"/>
  <c r="AE28" i="29" s="1"/>
  <c r="AC43" i="29"/>
  <c r="AB43" i="29"/>
  <c r="AA43" i="29"/>
  <c r="AC41" i="29"/>
  <c r="AB41" i="29"/>
  <c r="AA41" i="29"/>
  <c r="AL42" i="29" s="1"/>
  <c r="AC39" i="29"/>
  <c r="AB39" i="29"/>
  <c r="AA39" i="29"/>
  <c r="AL40" i="29" s="1"/>
  <c r="AC38" i="29"/>
  <c r="AB38" i="29"/>
  <c r="AA38" i="29"/>
  <c r="AC37" i="29"/>
  <c r="AB37" i="29"/>
  <c r="AA37" i="29"/>
  <c r="AC36" i="29"/>
  <c r="AB36" i="29"/>
  <c r="AA36" i="29"/>
  <c r="AC34" i="29"/>
  <c r="AB34" i="29"/>
  <c r="AA34" i="29"/>
  <c r="AC32" i="29"/>
  <c r="AB32" i="29"/>
  <c r="AA32" i="29"/>
  <c r="AC30" i="29"/>
  <c r="AB30" i="29"/>
  <c r="AA30" i="29"/>
  <c r="AC28" i="29"/>
  <c r="AB28" i="29"/>
  <c r="AA28" i="29"/>
  <c r="AD45" i="29"/>
  <c r="I45" i="29"/>
  <c r="I44" i="29"/>
  <c r="M43" i="29"/>
  <c r="L43" i="29"/>
  <c r="I43" i="29"/>
  <c r="H43" i="29"/>
  <c r="G43" i="29"/>
  <c r="M42" i="29"/>
  <c r="L42" i="29"/>
  <c r="I42" i="29"/>
  <c r="H42" i="29"/>
  <c r="G42" i="29"/>
  <c r="M41" i="29"/>
  <c r="L41" i="29"/>
  <c r="I41" i="29"/>
  <c r="H41" i="29"/>
  <c r="G41" i="29"/>
  <c r="M40" i="29"/>
  <c r="L40" i="29"/>
  <c r="I40" i="29"/>
  <c r="H40" i="29"/>
  <c r="G40" i="29"/>
  <c r="M39" i="29"/>
  <c r="Q39" i="29" s="1"/>
  <c r="L39" i="29"/>
  <c r="I39" i="29"/>
  <c r="H39" i="29"/>
  <c r="G39" i="29"/>
  <c r="M38" i="29"/>
  <c r="L38" i="29"/>
  <c r="I38" i="29"/>
  <c r="H38" i="29"/>
  <c r="G38" i="29"/>
  <c r="M37" i="29"/>
  <c r="L37" i="29"/>
  <c r="I37" i="29"/>
  <c r="H37" i="29"/>
  <c r="G37" i="29"/>
  <c r="M36" i="29"/>
  <c r="L36" i="29"/>
  <c r="I36" i="29"/>
  <c r="H36" i="29"/>
  <c r="G36" i="29"/>
  <c r="M35" i="29"/>
  <c r="Q35" i="29" s="1"/>
  <c r="L35" i="29"/>
  <c r="I35" i="29"/>
  <c r="H35" i="29"/>
  <c r="G35" i="29"/>
  <c r="M34" i="29"/>
  <c r="L34" i="29"/>
  <c r="I34" i="29"/>
  <c r="H34" i="29"/>
  <c r="G34" i="29"/>
  <c r="M33" i="29"/>
  <c r="Q33" i="29" s="1"/>
  <c r="L33" i="29"/>
  <c r="I33" i="29"/>
  <c r="H33" i="29"/>
  <c r="G33" i="29"/>
  <c r="M32" i="29"/>
  <c r="L32" i="29"/>
  <c r="I32" i="29"/>
  <c r="H32" i="29"/>
  <c r="G32" i="29"/>
  <c r="M31" i="29"/>
  <c r="L31" i="29"/>
  <c r="I31" i="29"/>
  <c r="H31" i="29"/>
  <c r="G31" i="29"/>
  <c r="M30" i="29"/>
  <c r="L30" i="29"/>
  <c r="I30" i="29"/>
  <c r="H30" i="29"/>
  <c r="G30" i="29"/>
  <c r="M29" i="29"/>
  <c r="Q29" i="29" s="1"/>
  <c r="L29" i="29"/>
  <c r="I29" i="29"/>
  <c r="H29" i="29"/>
  <c r="G29" i="29"/>
  <c r="I28" i="29"/>
  <c r="J28" i="29" s="1"/>
  <c r="H28" i="29"/>
  <c r="G28" i="29"/>
  <c r="M27" i="29"/>
  <c r="L27" i="29"/>
  <c r="D18" i="29"/>
  <c r="B14" i="29" a="1"/>
  <c r="B14" i="29" s="1"/>
  <c r="B13" i="29" a="1"/>
  <c r="B13" i="29" s="1"/>
  <c r="B6" i="29" a="1"/>
  <c r="B6" i="29" s="1"/>
  <c r="B14" i="10" a="1"/>
  <c r="B14" i="10" s="1"/>
  <c r="B13" i="10" a="1"/>
  <c r="B13" i="10" s="1"/>
  <c r="B6" i="10" a="1"/>
  <c r="B6" i="10" s="1"/>
  <c r="P33" i="31" l="1"/>
  <c r="Q38" i="31"/>
  <c r="AE43" i="31"/>
  <c r="Q40" i="31"/>
  <c r="AE38" i="31"/>
  <c r="J31" i="31"/>
  <c r="J32" i="31"/>
  <c r="N32" i="31" s="1"/>
  <c r="AS33" i="31"/>
  <c r="AR33" i="31" s="1"/>
  <c r="Q45" i="31"/>
  <c r="AE36" i="31"/>
  <c r="Q36" i="31"/>
  <c r="AE31" i="31"/>
  <c r="AH31" i="31" s="1"/>
  <c r="AE32" i="31"/>
  <c r="AT35" i="31"/>
  <c r="AU35" i="31" s="1"/>
  <c r="AV35" i="31" s="1"/>
  <c r="AR35" i="31"/>
  <c r="AT37" i="31"/>
  <c r="AU37" i="31" s="1"/>
  <c r="AV37" i="31" s="1"/>
  <c r="AR37" i="31"/>
  <c r="Q43" i="31"/>
  <c r="AE34" i="31"/>
  <c r="AB40" i="29"/>
  <c r="J37" i="29"/>
  <c r="N37" i="29" s="1"/>
  <c r="Q37" i="29" s="1"/>
  <c r="J34" i="29"/>
  <c r="N34" i="29" s="1"/>
  <c r="P34" i="29" s="1"/>
  <c r="J32" i="29"/>
  <c r="N32" i="29" s="1"/>
  <c r="P32" i="29" s="1"/>
  <c r="J39" i="29"/>
  <c r="N39" i="29" s="1"/>
  <c r="P39" i="29" s="1"/>
  <c r="J40" i="29"/>
  <c r="N40" i="29" s="1"/>
  <c r="Q40" i="29" s="1"/>
  <c r="AC40" i="29"/>
  <c r="AJ40" i="29"/>
  <c r="AC42" i="29"/>
  <c r="AA42" i="29"/>
  <c r="AB42" i="29"/>
  <c r="AD42" i="29"/>
  <c r="AE42" i="29" s="1"/>
  <c r="AH42" i="29" s="1"/>
  <c r="AA40" i="29"/>
  <c r="AD40" i="29"/>
  <c r="AE41" i="29" s="1"/>
  <c r="AD33" i="29"/>
  <c r="AE34" i="29" s="1"/>
  <c r="AA33" i="29"/>
  <c r="AC33" i="29"/>
  <c r="AB33" i="29"/>
  <c r="AJ29" i="29"/>
  <c r="AO29" i="29" s="1"/>
  <c r="AC35" i="29"/>
  <c r="AA29" i="29"/>
  <c r="AA35" i="29"/>
  <c r="AD35" i="29"/>
  <c r="AE36" i="29" s="1"/>
  <c r="AB35" i="29"/>
  <c r="AB29" i="29"/>
  <c r="AC29" i="29"/>
  <c r="J33" i="29"/>
  <c r="N33" i="29" s="1"/>
  <c r="P33" i="29" s="1"/>
  <c r="J30" i="29"/>
  <c r="N30" i="29" s="1"/>
  <c r="P30" i="29" s="1"/>
  <c r="J41" i="29"/>
  <c r="N41" i="29" s="1"/>
  <c r="P41" i="29" s="1"/>
  <c r="J36" i="29"/>
  <c r="N36" i="29" s="1"/>
  <c r="Q36" i="29" s="1"/>
  <c r="J38" i="29"/>
  <c r="N38" i="29" s="1"/>
  <c r="Q38" i="29" s="1"/>
  <c r="J35" i="29"/>
  <c r="N35" i="29" s="1"/>
  <c r="P35" i="29" s="1"/>
  <c r="J43" i="29"/>
  <c r="N43" i="29" s="1"/>
  <c r="Q43" i="29" s="1"/>
  <c r="J31" i="29"/>
  <c r="N31" i="29" s="1"/>
  <c r="P31" i="29" s="1"/>
  <c r="I46" i="29"/>
  <c r="J29" i="29"/>
  <c r="J42" i="29"/>
  <c r="N42" i="29" s="1"/>
  <c r="Q42" i="29" s="1"/>
  <c r="AE30" i="29"/>
  <c r="AE38" i="29"/>
  <c r="AE39" i="29"/>
  <c r="AE37" i="29"/>
  <c r="AE29" i="29"/>
  <c r="AH29" i="29" s="1"/>
  <c r="AD46" i="29"/>
  <c r="J64" i="17"/>
  <c r="J60" i="17"/>
  <c r="J56" i="17"/>
  <c r="J52" i="17"/>
  <c r="J48" i="17"/>
  <c r="X61" i="17"/>
  <c r="X60" i="17"/>
  <c r="X59" i="17"/>
  <c r="X58" i="17"/>
  <c r="X57" i="17"/>
  <c r="AT33" i="31" l="1"/>
  <c r="AU33" i="31" s="1"/>
  <c r="AV33" i="31" s="1"/>
  <c r="Q32" i="31"/>
  <c r="P32" i="31"/>
  <c r="R31" i="31"/>
  <c r="S31" i="31" s="1"/>
  <c r="N31" i="31"/>
  <c r="P31" i="31" s="1"/>
  <c r="AI22" i="31"/>
  <c r="AI21" i="31" s="1"/>
  <c r="AS31" i="31"/>
  <c r="Q31" i="29"/>
  <c r="Q32" i="29"/>
  <c r="Q30" i="29"/>
  <c r="N29" i="29"/>
  <c r="P29" i="29" s="1"/>
  <c r="R29" i="29"/>
  <c r="S29" i="29" s="1"/>
  <c r="Q34" i="29"/>
  <c r="P37" i="29"/>
  <c r="P43" i="29"/>
  <c r="Q41" i="29"/>
  <c r="P38" i="29"/>
  <c r="P40" i="29"/>
  <c r="P36" i="29"/>
  <c r="P42" i="29"/>
  <c r="AE43" i="29"/>
  <c r="AE33" i="29"/>
  <c r="AH33" i="29" s="1"/>
  <c r="AS33" i="29" s="1"/>
  <c r="AT33" i="29" s="1"/>
  <c r="AU33" i="29" s="1"/>
  <c r="AV33" i="29" s="1"/>
  <c r="AE40" i="29"/>
  <c r="AH40" i="29" s="1"/>
  <c r="AI24" i="29" s="1"/>
  <c r="AI25" i="29"/>
  <c r="AS29" i="29"/>
  <c r="AR29" i="29" s="1"/>
  <c r="AI20" i="29"/>
  <c r="AE35" i="29"/>
  <c r="AH35" i="29" s="1"/>
  <c r="AI23" i="29" s="1"/>
  <c r="K60" i="12"/>
  <c r="AR31" i="31" l="1"/>
  <c r="AT31" i="31"/>
  <c r="AU31" i="31" s="1"/>
  <c r="AV31" i="31" s="1"/>
  <c r="AN40" i="29"/>
  <c r="AU40" i="29" s="1"/>
  <c r="AV40" i="29" s="1"/>
  <c r="AI22" i="29"/>
  <c r="AN42" i="29"/>
  <c r="AU42" i="29" s="1"/>
  <c r="AV42" i="29" s="1"/>
  <c r="AT29" i="29"/>
  <c r="AU29" i="29" s="1"/>
  <c r="AV29" i="29" s="1"/>
  <c r="AR33" i="29"/>
  <c r="AS35" i="29"/>
  <c r="AR35" i="29" s="1"/>
  <c r="H99" i="28"/>
  <c r="N114" i="28"/>
  <c r="N113" i="28"/>
  <c r="N112" i="28"/>
  <c r="N111"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N75" i="28"/>
  <c r="N76" i="28"/>
  <c r="N77" i="28"/>
  <c r="N74" i="28"/>
  <c r="D92" i="28"/>
  <c r="AT35" i="29" l="1"/>
  <c r="AU35" i="29" s="1"/>
  <c r="AV35" i="29" s="1"/>
  <c r="P30" i="28"/>
  <c r="D89" i="28"/>
  <c r="D90" i="28"/>
  <c r="D91" i="28"/>
  <c r="S40" i="28"/>
  <c r="S39" i="28"/>
  <c r="S38" i="28"/>
  <c r="S37" i="28"/>
  <c r="S36" i="28"/>
  <c r="S35" i="28"/>
  <c r="S34" i="28"/>
  <c r="S33" i="28"/>
  <c r="S32" i="28"/>
  <c r="S31" i="28"/>
  <c r="T31" i="28" s="1"/>
  <c r="J58" i="21"/>
  <c r="G68" i="21" s="1"/>
  <c r="P40" i="28"/>
  <c r="P39" i="28"/>
  <c r="K75" i="28" s="1"/>
  <c r="P38" i="28"/>
  <c r="K74" i="28" s="1"/>
  <c r="P37" i="28"/>
  <c r="P36" i="28"/>
  <c r="P35" i="28"/>
  <c r="P34" i="28"/>
  <c r="P33" i="28"/>
  <c r="P32" i="28"/>
  <c r="P31" i="28"/>
  <c r="O40" i="28"/>
  <c r="O39" i="28"/>
  <c r="O38" i="28"/>
  <c r="O37" i="28"/>
  <c r="O36" i="28"/>
  <c r="O35" i="28"/>
  <c r="O34" i="28"/>
  <c r="O33" i="28"/>
  <c r="O31" i="28"/>
  <c r="O32" i="28"/>
  <c r="N45" i="28"/>
  <c r="N30" i="28"/>
  <c r="D30" i="28"/>
  <c r="C30" i="28"/>
  <c r="O27" i="28"/>
  <c r="E27" i="28"/>
  <c r="I33" i="28"/>
  <c r="D88" i="28"/>
  <c r="D87" i="28"/>
  <c r="D86" i="28"/>
  <c r="D85" i="28"/>
  <c r="D84" i="28"/>
  <c r="D83" i="28"/>
  <c r="D82" i="28"/>
  <c r="D81" i="28"/>
  <c r="D80" i="28"/>
  <c r="D79" i="28"/>
  <c r="D78" i="28"/>
  <c r="D77" i="28"/>
  <c r="D76" i="28"/>
  <c r="D75" i="28"/>
  <c r="D74" i="28"/>
  <c r="D73" i="28"/>
  <c r="D72" i="28"/>
  <c r="D71" i="28"/>
  <c r="D70" i="28"/>
  <c r="D69" i="28"/>
  <c r="D68" i="28"/>
  <c r="D16" i="28"/>
  <c r="D18" i="28" s="1"/>
  <c r="D41" i="28"/>
  <c r="C41" i="28"/>
  <c r="I40" i="28"/>
  <c r="F40" i="28"/>
  <c r="E60" i="28" s="1"/>
  <c r="E40" i="28"/>
  <c r="I39" i="28"/>
  <c r="F39" i="28"/>
  <c r="E59" i="28" s="1"/>
  <c r="E39" i="28"/>
  <c r="I38" i="28"/>
  <c r="F38" i="28"/>
  <c r="E58" i="28" s="1"/>
  <c r="E38" i="28"/>
  <c r="I37" i="28"/>
  <c r="F37" i="28"/>
  <c r="E54" i="28" s="1"/>
  <c r="E37" i="28"/>
  <c r="I36" i="28"/>
  <c r="F36" i="28"/>
  <c r="E36" i="28"/>
  <c r="I35" i="28"/>
  <c r="F35" i="28"/>
  <c r="E35" i="28"/>
  <c r="I34" i="28"/>
  <c r="F34" i="28"/>
  <c r="E34" i="28"/>
  <c r="F33" i="28"/>
  <c r="E33" i="28"/>
  <c r="I32" i="28"/>
  <c r="F32" i="28"/>
  <c r="E32" i="28"/>
  <c r="I31" i="28"/>
  <c r="F31" i="28"/>
  <c r="E31" i="28"/>
  <c r="F30" i="28"/>
  <c r="E30" i="28"/>
  <c r="D8" i="28"/>
  <c r="O28" i="14"/>
  <c r="M28" i="14"/>
  <c r="P28" i="21"/>
  <c r="N28" i="21"/>
  <c r="Y11" i="21"/>
  <c r="Y7" i="21"/>
  <c r="Y5" i="21"/>
  <c r="Y4" i="21"/>
  <c r="F24" i="21"/>
  <c r="G28" i="21"/>
  <c r="E124" i="28" l="1"/>
  <c r="E122" i="28"/>
  <c r="E120" i="28"/>
  <c r="E118" i="28"/>
  <c r="E116" i="28"/>
  <c r="E114" i="28"/>
  <c r="E112" i="28"/>
  <c r="E110" i="28"/>
  <c r="E108" i="28"/>
  <c r="E106" i="28"/>
  <c r="E104" i="28"/>
  <c r="E102" i="28"/>
  <c r="E123" i="28"/>
  <c r="E121" i="28"/>
  <c r="E119" i="28"/>
  <c r="E117" i="28"/>
  <c r="E115" i="28"/>
  <c r="E113" i="28"/>
  <c r="E111" i="28"/>
  <c r="E109" i="28"/>
  <c r="E107" i="28"/>
  <c r="E105" i="28"/>
  <c r="E103" i="28"/>
  <c r="E101" i="28"/>
  <c r="E100" i="28"/>
  <c r="Q31" i="28"/>
  <c r="Q36" i="28"/>
  <c r="Q40" i="28"/>
  <c r="Q33" i="28"/>
  <c r="Q37" i="28"/>
  <c r="R31" i="28"/>
  <c r="P45" i="28"/>
  <c r="P41" i="28" s="1"/>
  <c r="Q34" i="28"/>
  <c r="Q38" i="28"/>
  <c r="R32" i="28"/>
  <c r="R36" i="28"/>
  <c r="Q32" i="28"/>
  <c r="Q35" i="28"/>
  <c r="Q39" i="28"/>
  <c r="R33" i="28"/>
  <c r="R37" i="28"/>
  <c r="F58" i="28"/>
  <c r="R38" i="28"/>
  <c r="I74" i="28" s="1"/>
  <c r="R35" i="28"/>
  <c r="J70" i="28" s="1"/>
  <c r="J107" i="28" s="1"/>
  <c r="K70" i="28"/>
  <c r="R40" i="28"/>
  <c r="I76" i="28" s="1"/>
  <c r="I113" i="28" s="1"/>
  <c r="K76" i="28"/>
  <c r="R39" i="28"/>
  <c r="I75" i="28" s="1"/>
  <c r="I112" i="28" s="1"/>
  <c r="F45" i="28"/>
  <c r="E68" i="28"/>
  <c r="E92" i="28"/>
  <c r="E88" i="28"/>
  <c r="E84" i="28"/>
  <c r="E80" i="28"/>
  <c r="E76" i="28"/>
  <c r="E72" i="28"/>
  <c r="E15" i="28"/>
  <c r="M107" i="28" s="1"/>
  <c r="N107" i="28" s="1"/>
  <c r="E91" i="28"/>
  <c r="E87" i="28"/>
  <c r="E83" i="28"/>
  <c r="E79" i="28"/>
  <c r="E75" i="28"/>
  <c r="E71" i="28"/>
  <c r="R34" i="28"/>
  <c r="E90" i="28"/>
  <c r="F90" i="28" s="1"/>
  <c r="E86" i="28"/>
  <c r="E82" i="28"/>
  <c r="E78" i="28"/>
  <c r="E74" i="28"/>
  <c r="E70" i="28"/>
  <c r="F70" i="28" s="1"/>
  <c r="O30" i="28"/>
  <c r="E89" i="28"/>
  <c r="E85" i="28"/>
  <c r="F85" i="28" s="1"/>
  <c r="E81" i="28"/>
  <c r="E77" i="28"/>
  <c r="E73" i="28"/>
  <c r="E69" i="28"/>
  <c r="S41" i="28"/>
  <c r="T33" i="28"/>
  <c r="T34" i="28"/>
  <c r="F59" i="28"/>
  <c r="F60" i="28"/>
  <c r="T38" i="28"/>
  <c r="H37" i="28"/>
  <c r="T36" i="28"/>
  <c r="M30" i="28"/>
  <c r="T40" i="28"/>
  <c r="T32" i="28"/>
  <c r="T35" i="28"/>
  <c r="T37" i="28"/>
  <c r="T39" i="28"/>
  <c r="G32" i="28"/>
  <c r="J40" i="28"/>
  <c r="J34" i="28"/>
  <c r="J35" i="28"/>
  <c r="J37" i="28"/>
  <c r="J33" i="28"/>
  <c r="H34" i="28"/>
  <c r="V34" i="28" s="1"/>
  <c r="W34" i="28" s="1"/>
  <c r="J36" i="28"/>
  <c r="J39" i="28"/>
  <c r="G31" i="28"/>
  <c r="H32" i="28"/>
  <c r="V32" i="28" s="1"/>
  <c r="W32" i="28" s="1"/>
  <c r="G33" i="28"/>
  <c r="G36" i="28"/>
  <c r="H39" i="28"/>
  <c r="J38" i="28"/>
  <c r="H31" i="28"/>
  <c r="V31" i="28" s="1"/>
  <c r="W31" i="28" s="1"/>
  <c r="G39" i="28"/>
  <c r="G35" i="28"/>
  <c r="H36" i="28"/>
  <c r="V36" i="28" s="1"/>
  <c r="W36" i="28" s="1"/>
  <c r="G38" i="28"/>
  <c r="G40" i="28"/>
  <c r="I41" i="28"/>
  <c r="J32" i="28"/>
  <c r="G37" i="28"/>
  <c r="H38" i="28"/>
  <c r="H40" i="28"/>
  <c r="J31" i="28"/>
  <c r="G34" i="28"/>
  <c r="H33" i="28"/>
  <c r="V33" i="28" s="1"/>
  <c r="W33" i="28" s="1"/>
  <c r="H35" i="28"/>
  <c r="V35" i="28" s="1"/>
  <c r="W35" i="28" s="1"/>
  <c r="C41" i="27"/>
  <c r="C40" i="27"/>
  <c r="C37" i="27"/>
  <c r="C36" i="27"/>
  <c r="M23" i="27"/>
  <c r="O22" i="27"/>
  <c r="O19" i="27"/>
  <c r="I16" i="27"/>
  <c r="G16" i="27"/>
  <c r="E16" i="27"/>
  <c r="K12" i="27"/>
  <c r="I12" i="27"/>
  <c r="G12" i="27"/>
  <c r="E12" i="27"/>
  <c r="R7" i="27"/>
  <c r="P7" i="27"/>
  <c r="K6" i="27"/>
  <c r="J6" i="27"/>
  <c r="I6" i="27"/>
  <c r="H6" i="27"/>
  <c r="G6" i="27"/>
  <c r="F6" i="27"/>
  <c r="E6" i="27"/>
  <c r="D6" i="27"/>
  <c r="C41" i="26"/>
  <c r="C40" i="26"/>
  <c r="C37" i="26"/>
  <c r="C36" i="26"/>
  <c r="M23" i="26"/>
  <c r="O22" i="26"/>
  <c r="O19" i="26"/>
  <c r="I15" i="26"/>
  <c r="G15" i="26"/>
  <c r="E15" i="26"/>
  <c r="K12" i="26"/>
  <c r="I12" i="26"/>
  <c r="G12" i="26"/>
  <c r="E12" i="26"/>
  <c r="R7" i="26"/>
  <c r="P7" i="26"/>
  <c r="K6" i="26"/>
  <c r="J6" i="26"/>
  <c r="I6" i="26"/>
  <c r="H6" i="26"/>
  <c r="G6" i="26"/>
  <c r="F6" i="26"/>
  <c r="E6" i="26"/>
  <c r="D6" i="26"/>
  <c r="F75" i="28" l="1"/>
  <c r="F101" i="28"/>
  <c r="F117" i="28"/>
  <c r="F110" i="28"/>
  <c r="F69" i="28"/>
  <c r="F74" i="28"/>
  <c r="F79" i="28"/>
  <c r="F109" i="28"/>
  <c r="F102" i="28"/>
  <c r="F81" i="28"/>
  <c r="F86" i="28"/>
  <c r="F91" i="28"/>
  <c r="F118" i="28"/>
  <c r="F80" i="28"/>
  <c r="O45" i="28"/>
  <c r="O41" i="28" s="1"/>
  <c r="Q41" i="28" s="1"/>
  <c r="R41" i="28"/>
  <c r="I77" i="28" s="1"/>
  <c r="I114" i="28" s="1"/>
  <c r="K77" i="28"/>
  <c r="K114" i="28" s="1"/>
  <c r="C58" i="28"/>
  <c r="V38" i="28"/>
  <c r="W38" i="28" s="1"/>
  <c r="F77" i="28"/>
  <c r="K107" i="28"/>
  <c r="F103" i="28"/>
  <c r="F111" i="28"/>
  <c r="F119" i="28"/>
  <c r="F104" i="28"/>
  <c r="F112" i="28"/>
  <c r="F120" i="28"/>
  <c r="F105" i="28"/>
  <c r="F113" i="28"/>
  <c r="F121" i="28"/>
  <c r="F106" i="28"/>
  <c r="F114" i="28"/>
  <c r="F122" i="28"/>
  <c r="C60" i="28"/>
  <c r="V40" i="28"/>
  <c r="W40" i="28" s="1"/>
  <c r="C59" i="28"/>
  <c r="V39" i="28"/>
  <c r="W39" i="28" s="1"/>
  <c r="K113" i="28"/>
  <c r="K112" i="28"/>
  <c r="K111" i="28"/>
  <c r="F100" i="28"/>
  <c r="F107" i="28"/>
  <c r="F115" i="28"/>
  <c r="F123" i="28"/>
  <c r="F108" i="28"/>
  <c r="F116" i="28"/>
  <c r="F124" i="28"/>
  <c r="J74" i="28"/>
  <c r="I111" i="28"/>
  <c r="D54" i="28"/>
  <c r="F54" i="28" s="1"/>
  <c r="V37" i="28"/>
  <c r="W37" i="28" s="1"/>
  <c r="L75" i="28"/>
  <c r="M75" i="28" s="1"/>
  <c r="O75" i="28" s="1"/>
  <c r="L76" i="28"/>
  <c r="M76" i="28" s="1"/>
  <c r="O76" i="28" s="1"/>
  <c r="L74" i="28"/>
  <c r="M74" i="28" s="1"/>
  <c r="O74" i="28" s="1"/>
  <c r="J76" i="28"/>
  <c r="J75" i="28"/>
  <c r="F84" i="28"/>
  <c r="E45" i="28"/>
  <c r="E41" i="28" s="1"/>
  <c r="F41" i="28"/>
  <c r="F73" i="28"/>
  <c r="F89" i="28"/>
  <c r="F78" i="28"/>
  <c r="F83" i="28"/>
  <c r="F72" i="28"/>
  <c r="F88" i="28"/>
  <c r="F82" i="28"/>
  <c r="F71" i="28"/>
  <c r="F87" i="28"/>
  <c r="F76" i="28"/>
  <c r="F92" i="28"/>
  <c r="F68" i="28"/>
  <c r="C12" i="27"/>
  <c r="K13" i="27" s="1"/>
  <c r="C12" i="26"/>
  <c r="J13" i="26" s="1"/>
  <c r="C6" i="27"/>
  <c r="D7" i="27" s="1"/>
  <c r="C6" i="26"/>
  <c r="I7" i="26" s="1"/>
  <c r="S42" i="28" l="1"/>
  <c r="S43" i="28" s="1"/>
  <c r="S44" i="28" s="1"/>
  <c r="D59" i="28"/>
  <c r="L77" i="28"/>
  <c r="M77" i="28" s="1"/>
  <c r="O77" i="28" s="1"/>
  <c r="D60" i="28"/>
  <c r="D58" i="28"/>
  <c r="H59" i="28"/>
  <c r="G59" i="28"/>
  <c r="H61" i="28"/>
  <c r="J77" i="28"/>
  <c r="J114" i="28" s="1"/>
  <c r="J113" i="28"/>
  <c r="P76" i="28"/>
  <c r="L114" i="28"/>
  <c r="M114" i="28" s="1"/>
  <c r="O114" i="28" s="1"/>
  <c r="L112" i="28"/>
  <c r="M112" i="28" s="1"/>
  <c r="O112" i="28" s="1"/>
  <c r="L111" i="28"/>
  <c r="M111" i="28" s="1"/>
  <c r="O111" i="28" s="1"/>
  <c r="L113" i="28"/>
  <c r="M113" i="28" s="1"/>
  <c r="O113" i="28" s="1"/>
  <c r="J112" i="28"/>
  <c r="P75" i="28"/>
  <c r="P74" i="28"/>
  <c r="J111" i="28"/>
  <c r="H58" i="28"/>
  <c r="G58" i="28"/>
  <c r="H60" i="28"/>
  <c r="G60" i="28"/>
  <c r="H41" i="28"/>
  <c r="V41" i="28" s="1"/>
  <c r="W41" i="28" s="1"/>
  <c r="Y41" i="28" s="1"/>
  <c r="E61" i="28"/>
  <c r="F61" i="28" s="1"/>
  <c r="G61" i="28" s="1"/>
  <c r="G41" i="28"/>
  <c r="I42" i="28"/>
  <c r="I43" i="28" s="1"/>
  <c r="G13" i="27"/>
  <c r="C13" i="27" s="1"/>
  <c r="D13" i="27"/>
  <c r="G13" i="26"/>
  <c r="F13" i="27"/>
  <c r="H13" i="26"/>
  <c r="I13" i="27"/>
  <c r="C14" i="27" s="1"/>
  <c r="J13" i="27"/>
  <c r="E13" i="26"/>
  <c r="F13" i="26"/>
  <c r="K13" i="26"/>
  <c r="E13" i="27"/>
  <c r="H13" i="27"/>
  <c r="D13" i="26"/>
  <c r="I13" i="26"/>
  <c r="K7" i="27"/>
  <c r="S13" i="27" s="1"/>
  <c r="E7" i="27"/>
  <c r="P13" i="27" s="1"/>
  <c r="J7" i="27"/>
  <c r="S12" i="27" s="1"/>
  <c r="F7" i="27"/>
  <c r="Q12" i="27" s="1"/>
  <c r="P12" i="27"/>
  <c r="H7" i="26"/>
  <c r="R12" i="26" s="1"/>
  <c r="D7" i="26"/>
  <c r="P12" i="26" s="1"/>
  <c r="H7" i="27"/>
  <c r="G7" i="27"/>
  <c r="Q13" i="27" s="1"/>
  <c r="K7" i="26"/>
  <c r="S13" i="26" s="1"/>
  <c r="I7" i="27"/>
  <c r="R13" i="26"/>
  <c r="J7" i="26"/>
  <c r="S12" i="26" s="1"/>
  <c r="G7" i="26"/>
  <c r="Q13" i="26" s="1"/>
  <c r="F7" i="26"/>
  <c r="E7" i="26"/>
  <c r="P13" i="26" s="1"/>
  <c r="I59" i="28" l="1"/>
  <c r="J59" i="28" s="1"/>
  <c r="I61" i="28"/>
  <c r="P77" i="28"/>
  <c r="I58" i="28"/>
  <c r="J58" i="28" s="1"/>
  <c r="P112" i="28"/>
  <c r="P114" i="28"/>
  <c r="P111" i="28"/>
  <c r="P113" i="28"/>
  <c r="I60" i="28"/>
  <c r="J60" i="28" s="1"/>
  <c r="C61" i="28"/>
  <c r="D61" i="28" s="1"/>
  <c r="J61" i="28" s="1"/>
  <c r="I44" i="28"/>
  <c r="Q15" i="27"/>
  <c r="C14" i="26"/>
  <c r="D20" i="27"/>
  <c r="C20" i="26"/>
  <c r="N20" i="26" s="1"/>
  <c r="E20" i="26"/>
  <c r="C20" i="27"/>
  <c r="C23" i="27"/>
  <c r="D23" i="27" s="1"/>
  <c r="R12" i="27"/>
  <c r="S16" i="26"/>
  <c r="R13" i="27"/>
  <c r="U13" i="27" s="1"/>
  <c r="E20" i="27"/>
  <c r="U13" i="26"/>
  <c r="Q12" i="26"/>
  <c r="Q15" i="26" s="1"/>
  <c r="D20" i="26"/>
  <c r="C23" i="26"/>
  <c r="D23" i="26" s="1"/>
  <c r="H23" i="26" l="1"/>
  <c r="G9" i="26" s="1"/>
  <c r="B23" i="26" s="1"/>
  <c r="E23" i="26" s="1"/>
  <c r="S16" i="27"/>
  <c r="G20" i="26"/>
  <c r="F20" i="26" s="1"/>
  <c r="H22" i="26" s="1"/>
  <c r="G20" i="27"/>
  <c r="F20" i="27" s="1"/>
  <c r="N20" i="27"/>
  <c r="H23" i="27"/>
  <c r="G9" i="27" s="1"/>
  <c r="B23" i="27" s="1"/>
  <c r="E23" i="27" s="1"/>
  <c r="O20" i="26"/>
  <c r="M20" i="26"/>
  <c r="W27" i="27" l="1"/>
  <c r="D14" i="27" s="1"/>
  <c r="D14" i="26"/>
  <c r="I16" i="26" s="1"/>
  <c r="H22" i="27"/>
  <c r="O20" i="27"/>
  <c r="M20" i="27"/>
  <c r="K16" i="26" l="1"/>
  <c r="J15" i="26" s="1"/>
  <c r="K15" i="27"/>
  <c r="J16" i="27" s="1"/>
  <c r="I15" i="27"/>
  <c r="H16" i="27" s="1"/>
  <c r="H15" i="26"/>
  <c r="E16" i="26"/>
  <c r="N21" i="26" l="1"/>
  <c r="O21" i="26" s="1"/>
  <c r="C29" i="26"/>
  <c r="D29" i="26" s="1"/>
  <c r="G16" i="26"/>
  <c r="B29" i="26" s="1"/>
  <c r="C16" i="26"/>
  <c r="S28" i="26"/>
  <c r="N21" i="27"/>
  <c r="O21" i="27" s="1"/>
  <c r="G15" i="27"/>
  <c r="F16" i="27" s="1"/>
  <c r="C28" i="27"/>
  <c r="D28" i="27" s="1"/>
  <c r="E15" i="27"/>
  <c r="S27" i="27"/>
  <c r="C15" i="27"/>
  <c r="C29" i="27"/>
  <c r="D29" i="27" s="1"/>
  <c r="D15" i="26"/>
  <c r="C28" i="26"/>
  <c r="D28" i="26" s="1"/>
  <c r="S27" i="26" l="1"/>
  <c r="S29" i="26" s="1"/>
  <c r="E29" i="26"/>
  <c r="M21" i="26"/>
  <c r="J20" i="26" s="1"/>
  <c r="G28" i="26" s="1"/>
  <c r="F15" i="26"/>
  <c r="B28" i="26" s="1"/>
  <c r="E28" i="26" s="1"/>
  <c r="M21" i="27"/>
  <c r="J20" i="27" s="1"/>
  <c r="S26" i="27"/>
  <c r="S28" i="27" s="1"/>
  <c r="B28" i="27"/>
  <c r="E28" i="27" s="1"/>
  <c r="D16" i="27"/>
  <c r="B29" i="27" s="1"/>
  <c r="E29" i="27" s="1"/>
  <c r="H28" i="26" l="1"/>
  <c r="I28" i="26" s="1"/>
  <c r="J28" i="26" s="1"/>
  <c r="K28" i="26" s="1"/>
  <c r="L28" i="26" s="1"/>
  <c r="M28" i="26" s="1"/>
  <c r="N28" i="26" s="1"/>
  <c r="O28" i="26" s="1"/>
  <c r="G29" i="26"/>
  <c r="H29" i="26"/>
  <c r="I29" i="26" s="1"/>
  <c r="J29" i="26" s="1"/>
  <c r="K29" i="26" s="1"/>
  <c r="L29" i="26" s="1"/>
  <c r="M29" i="26" s="1"/>
  <c r="G29" i="27"/>
  <c r="H28" i="27"/>
  <c r="I28" i="27" s="1"/>
  <c r="J28" i="27" s="1"/>
  <c r="K28" i="27" s="1"/>
  <c r="L28" i="27" s="1"/>
  <c r="M28" i="27" s="1"/>
  <c r="G28" i="27"/>
  <c r="H29" i="27"/>
  <c r="I29" i="27" s="1"/>
  <c r="J29" i="27" s="1"/>
  <c r="K29" i="27" s="1"/>
  <c r="L29" i="27" s="1"/>
  <c r="M29" i="27" s="1"/>
  <c r="N29" i="26" l="1"/>
  <c r="O29" i="26" s="1"/>
  <c r="N29" i="27"/>
  <c r="O29" i="27" s="1"/>
  <c r="N28" i="27"/>
  <c r="O28" i="27" s="1"/>
  <c r="J102" i="21" l="1"/>
  <c r="G24" i="25" l="1"/>
  <c r="F24" i="25"/>
  <c r="AG29" i="25" s="1"/>
  <c r="AL29" i="25" s="1"/>
  <c r="E24" i="25"/>
  <c r="E17" i="25"/>
  <c r="H27" i="25"/>
  <c r="H28" i="25" s="1"/>
  <c r="G27" i="25"/>
  <c r="G28" i="25" s="1"/>
  <c r="F27" i="25"/>
  <c r="F28" i="25" s="1"/>
  <c r="E27" i="25"/>
  <c r="AG25" i="25"/>
  <c r="AH25" i="25" s="1"/>
  <c r="AI25" i="25" s="1"/>
  <c r="AM25" i="25"/>
  <c r="AM26" i="25"/>
  <c r="AN26" i="25" s="1"/>
  <c r="AH26" i="25"/>
  <c r="E51" i="25"/>
  <c r="F51" i="25" s="1"/>
  <c r="E50" i="25"/>
  <c r="F50" i="25" s="1"/>
  <c r="P26" i="25"/>
  <c r="P25" i="25"/>
  <c r="P22" i="25"/>
  <c r="Q22" i="25" s="1"/>
  <c r="G47" i="25"/>
  <c r="E47" i="25"/>
  <c r="S46" i="25"/>
  <c r="W46" i="25" s="1"/>
  <c r="S45" i="25"/>
  <c r="W45" i="25" s="1"/>
  <c r="T26" i="25"/>
  <c r="S26" i="25"/>
  <c r="L26" i="25"/>
  <c r="K26" i="25"/>
  <c r="J26" i="25"/>
  <c r="I26" i="25"/>
  <c r="L25" i="25"/>
  <c r="K25" i="25"/>
  <c r="J25" i="25"/>
  <c r="I25" i="25"/>
  <c r="T23" i="25"/>
  <c r="L22" i="25"/>
  <c r="K22" i="25"/>
  <c r="J22" i="25"/>
  <c r="I22" i="25"/>
  <c r="L21" i="25"/>
  <c r="K21" i="25"/>
  <c r="J21" i="25"/>
  <c r="I21" i="25"/>
  <c r="H21" i="25"/>
  <c r="T21" i="25" s="1"/>
  <c r="G21" i="25"/>
  <c r="F21" i="25"/>
  <c r="E21" i="25"/>
  <c r="S21" i="25" s="1"/>
  <c r="E7" i="25"/>
  <c r="N22" i="25" l="1"/>
  <c r="M26" i="25"/>
  <c r="M25" i="25"/>
  <c r="N26" i="25"/>
  <c r="I49" i="25"/>
  <c r="N25" i="25"/>
  <c r="O22" i="25"/>
  <c r="M22" i="25"/>
  <c r="AN28" i="25"/>
  <c r="O26" i="25"/>
  <c r="O25" i="25"/>
  <c r="F29" i="25"/>
  <c r="G29" i="25"/>
  <c r="H29" i="25"/>
  <c r="T28" i="25"/>
  <c r="J27" i="25"/>
  <c r="E28" i="25"/>
  <c r="J28" i="25" s="1"/>
  <c r="K27" i="25"/>
  <c r="L27" i="25"/>
  <c r="I27" i="25"/>
  <c r="P27" i="25"/>
  <c r="AH29" i="25"/>
  <c r="AL25" i="25"/>
  <c r="J49" i="25"/>
  <c r="K49" i="25"/>
  <c r="L49" i="25"/>
  <c r="AM28" i="25"/>
  <c r="AI26" i="25"/>
  <c r="AF28" i="25" s="1"/>
  <c r="AN25" i="25"/>
  <c r="AG28" i="25"/>
  <c r="AI28" i="25"/>
  <c r="L47" i="25"/>
  <c r="N47" i="25" s="1"/>
  <c r="K47" i="25"/>
  <c r="M47" i="25" s="1"/>
  <c r="J47" i="25"/>
  <c r="I47" i="25"/>
  <c r="G48" i="20"/>
  <c r="F48" i="20"/>
  <c r="F29" i="20"/>
  <c r="Z22" i="25" l="1"/>
  <c r="AA22" i="25" s="1"/>
  <c r="O47" i="25"/>
  <c r="Z47" i="25" s="1"/>
  <c r="AA47" i="25" s="1"/>
  <c r="AH28" i="25"/>
  <c r="M27" i="25"/>
  <c r="N27" i="25"/>
  <c r="Z26" i="25"/>
  <c r="AA26" i="25" s="1"/>
  <c r="Z25" i="25"/>
  <c r="AA25" i="25" s="1"/>
  <c r="L28" i="25"/>
  <c r="N28" i="25" s="1"/>
  <c r="E29" i="25"/>
  <c r="J29" i="25" s="1"/>
  <c r="P28" i="25"/>
  <c r="Q28" i="25" s="1"/>
  <c r="U28" i="25" s="1"/>
  <c r="I28" i="25"/>
  <c r="H30" i="25"/>
  <c r="F30" i="25"/>
  <c r="K28" i="25"/>
  <c r="G30" i="25"/>
  <c r="O27" i="25"/>
  <c r="AM29" i="25"/>
  <c r="AL28" i="25"/>
  <c r="AK28" i="25"/>
  <c r="Q27" i="25"/>
  <c r="U27" i="25" s="1"/>
  <c r="Q26" i="25"/>
  <c r="U26" i="25" s="1"/>
  <c r="M28" i="25" l="1"/>
  <c r="O28" i="25"/>
  <c r="L29" i="25"/>
  <c r="N29" i="25" s="1"/>
  <c r="K29" i="25"/>
  <c r="Z27" i="25"/>
  <c r="AA27" i="25" s="1"/>
  <c r="G31" i="25"/>
  <c r="F31" i="25"/>
  <c r="H31" i="25"/>
  <c r="T30" i="25"/>
  <c r="P29" i="25"/>
  <c r="Q29" i="25" s="1"/>
  <c r="U29" i="25" s="1"/>
  <c r="E30" i="25"/>
  <c r="L30" i="25" s="1"/>
  <c r="I29" i="25"/>
  <c r="X28" i="25"/>
  <c r="X26" i="25"/>
  <c r="W26" i="25"/>
  <c r="AH103" i="17"/>
  <c r="AH104" i="17" s="1"/>
  <c r="AH98" i="17"/>
  <c r="AH93" i="17"/>
  <c r="AH94" i="17" s="1"/>
  <c r="AH88" i="17"/>
  <c r="AH89" i="17" s="1"/>
  <c r="AH83" i="17"/>
  <c r="AL78" i="17"/>
  <c r="AJ78" i="17"/>
  <c r="AI64" i="17"/>
  <c r="AJ64" i="17"/>
  <c r="AK64" i="17"/>
  <c r="AH64" i="17"/>
  <c r="BF61" i="17"/>
  <c r="BG61" i="17" s="1"/>
  <c r="BF62" i="17"/>
  <c r="AL62" i="17"/>
  <c r="AM62" i="17"/>
  <c r="AP62" i="17" s="1"/>
  <c r="AN62" i="17"/>
  <c r="AO62" i="17"/>
  <c r="AM61" i="17"/>
  <c r="AN61" i="17"/>
  <c r="AO61" i="17"/>
  <c r="AL61" i="17"/>
  <c r="R30" i="17"/>
  <c r="AL44" i="17"/>
  <c r="AL43" i="17"/>
  <c r="AL42" i="17"/>
  <c r="AL41" i="17"/>
  <c r="AL40" i="17"/>
  <c r="AL39" i="17"/>
  <c r="AL38" i="17"/>
  <c r="AL37" i="17"/>
  <c r="AL36" i="17"/>
  <c r="AL35" i="17"/>
  <c r="AL34" i="17"/>
  <c r="AL33" i="17"/>
  <c r="AL32" i="17"/>
  <c r="AL31" i="17"/>
  <c r="AL30" i="17"/>
  <c r="AL29" i="17"/>
  <c r="O24" i="17"/>
  <c r="AR62" i="17" l="1"/>
  <c r="BG62" i="17"/>
  <c r="AH65" i="17" s="1"/>
  <c r="AR61" i="17"/>
  <c r="AH66" i="17"/>
  <c r="AP61" i="17"/>
  <c r="AS62" i="17"/>
  <c r="AS61" i="17"/>
  <c r="M29" i="25"/>
  <c r="O29" i="25"/>
  <c r="Z28" i="25"/>
  <c r="AA28" i="25" s="1"/>
  <c r="K30" i="25"/>
  <c r="H32" i="25"/>
  <c r="T31" i="25"/>
  <c r="J30" i="25"/>
  <c r="O30" i="25" s="1"/>
  <c r="F32" i="25"/>
  <c r="P30" i="25"/>
  <c r="Q30" i="25" s="1"/>
  <c r="U30" i="25" s="1"/>
  <c r="X30" i="25" s="1"/>
  <c r="E31" i="25"/>
  <c r="J31" i="25" s="1"/>
  <c r="I30" i="25"/>
  <c r="G32" i="25"/>
  <c r="Y26" i="25"/>
  <c r="AH99" i="17"/>
  <c r="AH84" i="17"/>
  <c r="AQ61" i="17"/>
  <c r="AQ62" i="17"/>
  <c r="M30" i="25" l="1"/>
  <c r="N30" i="25"/>
  <c r="Z29" i="25"/>
  <c r="AA29" i="25" s="1"/>
  <c r="K31" i="25"/>
  <c r="L31" i="25"/>
  <c r="N31" i="25" s="1"/>
  <c r="P31" i="25"/>
  <c r="Q31" i="25" s="1"/>
  <c r="U31" i="25" s="1"/>
  <c r="S31" i="25"/>
  <c r="I31" i="25"/>
  <c r="E32" i="25"/>
  <c r="L32" i="25" s="1"/>
  <c r="F33" i="25"/>
  <c r="H33" i="25"/>
  <c r="T32" i="25"/>
  <c r="G33" i="25"/>
  <c r="M31" i="25" l="1"/>
  <c r="Z30" i="25"/>
  <c r="AA30" i="25" s="1"/>
  <c r="W31" i="25"/>
  <c r="F34" i="25"/>
  <c r="S32" i="25"/>
  <c r="I32" i="25"/>
  <c r="E33" i="25"/>
  <c r="K33" i="25" s="1"/>
  <c r="P32" i="25"/>
  <c r="Q32" i="25" s="1"/>
  <c r="U32" i="25" s="1"/>
  <c r="X32" i="25" s="1"/>
  <c r="X31" i="25"/>
  <c r="K32" i="25"/>
  <c r="H34" i="25"/>
  <c r="O31" i="25"/>
  <c r="G34" i="25"/>
  <c r="J32" i="25"/>
  <c r="O32" i="25" s="1"/>
  <c r="M32" i="25" l="1"/>
  <c r="N32" i="25"/>
  <c r="L33" i="25"/>
  <c r="Z31" i="25"/>
  <c r="AA31" i="25" s="1"/>
  <c r="Y31" i="25"/>
  <c r="W32" i="25"/>
  <c r="Y32" i="25" s="1"/>
  <c r="G35" i="25"/>
  <c r="H35" i="25"/>
  <c r="T34" i="25"/>
  <c r="P33" i="25"/>
  <c r="Q33" i="25" s="1"/>
  <c r="U33" i="25" s="1"/>
  <c r="I33" i="25"/>
  <c r="M33" i="25" s="1"/>
  <c r="E34" i="25"/>
  <c r="L34" i="25" s="1"/>
  <c r="J33" i="25"/>
  <c r="F35" i="25"/>
  <c r="N33" i="25" l="1"/>
  <c r="Z32" i="25"/>
  <c r="AA32" i="25" s="1"/>
  <c r="O33" i="25"/>
  <c r="J34" i="25"/>
  <c r="O34" i="25" s="1"/>
  <c r="G36" i="25"/>
  <c r="P34" i="25"/>
  <c r="Q34" i="25" s="1"/>
  <c r="U34" i="25" s="1"/>
  <c r="X34" i="25" s="1"/>
  <c r="S34" i="25"/>
  <c r="I34" i="25"/>
  <c r="E35" i="25"/>
  <c r="K35" i="25" s="1"/>
  <c r="K34" i="25"/>
  <c r="F36" i="25"/>
  <c r="H36" i="25"/>
  <c r="T35" i="25"/>
  <c r="M34" i="25" l="1"/>
  <c r="N34" i="25"/>
  <c r="Z33" i="25"/>
  <c r="AA33" i="25" s="1"/>
  <c r="L35" i="25"/>
  <c r="J35" i="25"/>
  <c r="W34" i="25"/>
  <c r="Y34" i="25" s="1"/>
  <c r="P35" i="25"/>
  <c r="Q35" i="25" s="1"/>
  <c r="U35" i="25" s="1"/>
  <c r="S35" i="25"/>
  <c r="I35" i="25"/>
  <c r="M35" i="25" s="1"/>
  <c r="E36" i="25"/>
  <c r="L36" i="25" s="1"/>
  <c r="F37" i="25"/>
  <c r="H37" i="25"/>
  <c r="G37" i="25"/>
  <c r="D30" i="24"/>
  <c r="E30" i="24"/>
  <c r="C30" i="24"/>
  <c r="C31" i="24" s="1"/>
  <c r="E23" i="24"/>
  <c r="D23" i="24"/>
  <c r="D24" i="24" s="1"/>
  <c r="C23" i="24"/>
  <c r="C24" i="24" s="1"/>
  <c r="D16" i="24"/>
  <c r="C16" i="24"/>
  <c r="C17" i="24" s="1"/>
  <c r="E16" i="24"/>
  <c r="E17" i="24" s="1"/>
  <c r="E18" i="24" s="1"/>
  <c r="C9" i="24"/>
  <c r="C10" i="24" s="1"/>
  <c r="E9" i="24"/>
  <c r="D9" i="24"/>
  <c r="D10" i="24" l="1"/>
  <c r="E10" i="24"/>
  <c r="E11" i="24" s="1"/>
  <c r="C18" i="24"/>
  <c r="D17" i="24"/>
  <c r="D18" i="24" s="1"/>
  <c r="E31" i="24"/>
  <c r="E32" i="24" s="1"/>
  <c r="E24" i="24"/>
  <c r="E25" i="24" s="1"/>
  <c r="N35" i="25"/>
  <c r="Z34" i="25"/>
  <c r="AA34" i="25" s="1"/>
  <c r="O35" i="25"/>
  <c r="J36" i="25"/>
  <c r="N36" i="25" s="1"/>
  <c r="K36" i="25"/>
  <c r="W35" i="25"/>
  <c r="F38" i="25"/>
  <c r="I36" i="25"/>
  <c r="E37" i="25"/>
  <c r="L37" i="25" s="1"/>
  <c r="P36" i="25"/>
  <c r="Q36" i="25" s="1"/>
  <c r="U36" i="25" s="1"/>
  <c r="H38" i="25"/>
  <c r="T37" i="25"/>
  <c r="X35" i="25"/>
  <c r="G38" i="25"/>
  <c r="D31" i="24"/>
  <c r="D32" i="24" s="1"/>
  <c r="D11" i="24" l="1"/>
  <c r="C11" i="24"/>
  <c r="D25" i="24"/>
  <c r="C25" i="24"/>
  <c r="M36" i="25"/>
  <c r="Z35" i="25"/>
  <c r="AA35" i="25" s="1"/>
  <c r="O36" i="25"/>
  <c r="Y35" i="25"/>
  <c r="P37" i="25"/>
  <c r="Q37" i="25" s="1"/>
  <c r="U37" i="25" s="1"/>
  <c r="S37" i="25"/>
  <c r="I37" i="25"/>
  <c r="E38" i="25"/>
  <c r="G39" i="25"/>
  <c r="K37" i="25"/>
  <c r="H39" i="25"/>
  <c r="T38" i="25"/>
  <c r="J37" i="25"/>
  <c r="O37" i="25" s="1"/>
  <c r="F39" i="25"/>
  <c r="C32" i="24"/>
  <c r="M37" i="25" l="1"/>
  <c r="N37" i="25"/>
  <c r="Z36" i="25"/>
  <c r="AA36" i="25" s="1"/>
  <c r="W37" i="25"/>
  <c r="X37" i="25"/>
  <c r="S38" i="25"/>
  <c r="I38" i="25"/>
  <c r="E39" i="25"/>
  <c r="K39" i="25" s="1"/>
  <c r="P38" i="25"/>
  <c r="Q38" i="25" s="1"/>
  <c r="U38" i="25" s="1"/>
  <c r="X38" i="25" s="1"/>
  <c r="J38" i="25"/>
  <c r="L38" i="25"/>
  <c r="K38" i="25"/>
  <c r="F40" i="25"/>
  <c r="H40" i="25"/>
  <c r="T39" i="25"/>
  <c r="G40" i="25"/>
  <c r="H40" i="20"/>
  <c r="H29" i="11"/>
  <c r="H28" i="11"/>
  <c r="H27" i="11"/>
  <c r="H26" i="11"/>
  <c r="H25" i="11"/>
  <c r="H24" i="11"/>
  <c r="H23" i="11"/>
  <c r="H22" i="11"/>
  <c r="H21" i="11"/>
  <c r="H20" i="11"/>
  <c r="N38" i="25" l="1"/>
  <c r="M38" i="25"/>
  <c r="Z37" i="25"/>
  <c r="AA37" i="25" s="1"/>
  <c r="W38" i="25"/>
  <c r="Y38" i="25" s="1"/>
  <c r="Y37" i="25"/>
  <c r="P39" i="25"/>
  <c r="Q39" i="25" s="1"/>
  <c r="U39" i="25" s="1"/>
  <c r="X39" i="25" s="1"/>
  <c r="S39" i="25"/>
  <c r="I39" i="25"/>
  <c r="M39" i="25" s="1"/>
  <c r="E40" i="25"/>
  <c r="J40" i="25" s="1"/>
  <c r="S44" i="25"/>
  <c r="G41" i="25"/>
  <c r="H41" i="25"/>
  <c r="T40" i="25"/>
  <c r="F41" i="25"/>
  <c r="O38" i="25"/>
  <c r="L39" i="25"/>
  <c r="J39" i="25"/>
  <c r="P62" i="20"/>
  <c r="Q62" i="20" s="1"/>
  <c r="P74" i="20"/>
  <c r="Q74" i="20" s="1"/>
  <c r="P73" i="20"/>
  <c r="Q73" i="20" s="1"/>
  <c r="P72" i="20"/>
  <c r="Q72" i="20" s="1"/>
  <c r="P71" i="20"/>
  <c r="Q71" i="20" s="1"/>
  <c r="P70" i="20"/>
  <c r="Q70" i="20" s="1"/>
  <c r="P69" i="20"/>
  <c r="Q69" i="20" s="1"/>
  <c r="P68" i="20"/>
  <c r="Q68" i="20" s="1"/>
  <c r="P67" i="20"/>
  <c r="Q67" i="20" s="1"/>
  <c r="P66" i="20"/>
  <c r="Q66" i="20" s="1"/>
  <c r="P65" i="20"/>
  <c r="Q65" i="20" s="1"/>
  <c r="P64" i="20"/>
  <c r="Q64" i="20" s="1"/>
  <c r="P63" i="20"/>
  <c r="Q63" i="20" s="1"/>
  <c r="O69" i="20"/>
  <c r="O63" i="20"/>
  <c r="O64" i="20"/>
  <c r="O65" i="20"/>
  <c r="O66" i="20"/>
  <c r="O67" i="20"/>
  <c r="O68" i="20"/>
  <c r="O70" i="20"/>
  <c r="O71" i="20"/>
  <c r="O72" i="20"/>
  <c r="O73" i="20"/>
  <c r="O74" i="20"/>
  <c r="O62" i="20"/>
  <c r="F15" i="20"/>
  <c r="G15" i="20"/>
  <c r="N39" i="25" l="1"/>
  <c r="O39" i="25"/>
  <c r="K40" i="25"/>
  <c r="L40" i="25"/>
  <c r="N40" i="25" s="1"/>
  <c r="G42" i="25"/>
  <c r="W39" i="25"/>
  <c r="Y39" i="25" s="1"/>
  <c r="S40" i="25"/>
  <c r="I40" i="25"/>
  <c r="E41" i="25"/>
  <c r="J41" i="25" s="1"/>
  <c r="P40" i="25"/>
  <c r="Q40" i="25" s="1"/>
  <c r="U40" i="25" s="1"/>
  <c r="X40" i="25" s="1"/>
  <c r="F42" i="25"/>
  <c r="F43" i="25" s="1"/>
  <c r="F44" i="25" s="1"/>
  <c r="F45" i="25" s="1"/>
  <c r="F46" i="25" s="1"/>
  <c r="H42" i="25"/>
  <c r="T41" i="25"/>
  <c r="Z38" i="25"/>
  <c r="AA38" i="25" s="1"/>
  <c r="AC102" i="20"/>
  <c r="AC103" i="20"/>
  <c r="AC95" i="20"/>
  <c r="AC96" i="20"/>
  <c r="AC97" i="20"/>
  <c r="AC98" i="20"/>
  <c r="AC99" i="20"/>
  <c r="AC100" i="20"/>
  <c r="AC101" i="20"/>
  <c r="AC94" i="20"/>
  <c r="D68" i="20"/>
  <c r="D65" i="20"/>
  <c r="D64" i="20"/>
  <c r="D40" i="20"/>
  <c r="I40" i="20" s="1"/>
  <c r="K40" i="20" s="1"/>
  <c r="M40" i="25" l="1"/>
  <c r="H43" i="25"/>
  <c r="K43" i="25" s="1"/>
  <c r="Z39" i="25"/>
  <c r="AA39" i="25" s="1"/>
  <c r="O40" i="25"/>
  <c r="K41" i="25"/>
  <c r="L41" i="25"/>
  <c r="N41" i="25" s="1"/>
  <c r="W40" i="25"/>
  <c r="Y40" i="25" s="1"/>
  <c r="T42" i="25"/>
  <c r="P41" i="25"/>
  <c r="Q41" i="25" s="1"/>
  <c r="U41" i="25" s="1"/>
  <c r="X41" i="25" s="1"/>
  <c r="S41" i="25"/>
  <c r="I41" i="25"/>
  <c r="E42" i="25"/>
  <c r="J71" i="22"/>
  <c r="D67" i="22"/>
  <c r="D66" i="22"/>
  <c r="D65" i="22"/>
  <c r="R57" i="22"/>
  <c r="H56" i="22"/>
  <c r="D56" i="22" s="1"/>
  <c r="H55" i="22"/>
  <c r="D55" i="22" s="1"/>
  <c r="I55" i="22" s="1"/>
  <c r="K55" i="22" s="1"/>
  <c r="H54" i="22"/>
  <c r="D54" i="22" s="1"/>
  <c r="H53" i="22"/>
  <c r="D53" i="22" s="1"/>
  <c r="I53" i="22" s="1"/>
  <c r="K53" i="22" s="1"/>
  <c r="H52" i="22"/>
  <c r="D52" i="22" s="1"/>
  <c r="H51" i="22"/>
  <c r="D51" i="22" s="1"/>
  <c r="I51" i="22" s="1"/>
  <c r="K51" i="22" s="1"/>
  <c r="H50" i="22"/>
  <c r="D50" i="22" s="1"/>
  <c r="H49" i="22"/>
  <c r="D49" i="22" s="1"/>
  <c r="R49" i="22" s="1"/>
  <c r="H81" i="22" s="1"/>
  <c r="J81" i="22" s="1"/>
  <c r="H48" i="22"/>
  <c r="D48" i="22" s="1"/>
  <c r="H47" i="22"/>
  <c r="D47" i="22" s="1"/>
  <c r="R47" i="22" s="1"/>
  <c r="H79" i="22" s="1"/>
  <c r="J79" i="22" s="1"/>
  <c r="H46" i="22"/>
  <c r="D46" i="22" s="1"/>
  <c r="H45" i="22"/>
  <c r="D45" i="22" s="1"/>
  <c r="H44" i="22"/>
  <c r="D44" i="22" s="1"/>
  <c r="H43" i="22"/>
  <c r="D43" i="22" s="1"/>
  <c r="H42" i="22"/>
  <c r="D42" i="22" s="1"/>
  <c r="H40" i="22"/>
  <c r="D40" i="22" s="1"/>
  <c r="G31" i="22"/>
  <c r="F31" i="22"/>
  <c r="G30" i="22"/>
  <c r="F30" i="22"/>
  <c r="G29" i="22"/>
  <c r="F29" i="22"/>
  <c r="G28" i="22"/>
  <c r="F28" i="22"/>
  <c r="G27" i="22"/>
  <c r="F27" i="22"/>
  <c r="G26" i="22"/>
  <c r="F26" i="22"/>
  <c r="G25" i="22"/>
  <c r="F25" i="22"/>
  <c r="G24" i="22"/>
  <c r="F24" i="22"/>
  <c r="G23" i="22"/>
  <c r="F23" i="22"/>
  <c r="G22" i="22"/>
  <c r="F22" i="22"/>
  <c r="G21" i="22"/>
  <c r="F21" i="22"/>
  <c r="G20" i="22"/>
  <c r="F20" i="22"/>
  <c r="G19" i="22"/>
  <c r="F19" i="22"/>
  <c r="G18" i="22"/>
  <c r="F18" i="22"/>
  <c r="G17" i="22"/>
  <c r="F17" i="22"/>
  <c r="G16" i="22"/>
  <c r="F16" i="22"/>
  <c r="G15" i="22"/>
  <c r="F15" i="22"/>
  <c r="R32" i="22" l="1"/>
  <c r="M41" i="25"/>
  <c r="J43" i="25"/>
  <c r="H44" i="25"/>
  <c r="P44" i="25" s="1"/>
  <c r="T43" i="25"/>
  <c r="L43" i="25"/>
  <c r="I43" i="25"/>
  <c r="M43" i="25" s="1"/>
  <c r="P43" i="25"/>
  <c r="Z40" i="25"/>
  <c r="AA40" i="25" s="1"/>
  <c r="S42" i="25"/>
  <c r="I42" i="25"/>
  <c r="S43" i="25"/>
  <c r="P42" i="25"/>
  <c r="O41" i="25"/>
  <c r="W41" i="25"/>
  <c r="Y41" i="25" s="1"/>
  <c r="J42" i="25"/>
  <c r="K42" i="25"/>
  <c r="L42" i="25"/>
  <c r="J49" i="22"/>
  <c r="L49" i="22" s="1"/>
  <c r="R43" i="22"/>
  <c r="H75" i="22" s="1"/>
  <c r="J75" i="22" s="1"/>
  <c r="I43" i="22"/>
  <c r="K43" i="22" s="1"/>
  <c r="J43" i="22"/>
  <c r="L43" i="22" s="1"/>
  <c r="R45" i="22"/>
  <c r="H77" i="22" s="1"/>
  <c r="J77" i="22" s="1"/>
  <c r="J45" i="22"/>
  <c r="L45" i="22" s="1"/>
  <c r="I45" i="22"/>
  <c r="K45" i="22" s="1"/>
  <c r="J47" i="22"/>
  <c r="L47" i="22" s="1"/>
  <c r="I49" i="22"/>
  <c r="K49" i="22" s="1"/>
  <c r="I47" i="22"/>
  <c r="K47" i="22" s="1"/>
  <c r="R40" i="22"/>
  <c r="J40" i="22"/>
  <c r="L40" i="22" s="1"/>
  <c r="I40" i="22"/>
  <c r="K40" i="22" s="1"/>
  <c r="M40" i="22" s="1"/>
  <c r="P40" i="22" s="1"/>
  <c r="J46" i="22"/>
  <c r="L46" i="22" s="1"/>
  <c r="R46" i="22"/>
  <c r="S47" i="22" s="1"/>
  <c r="I46" i="22"/>
  <c r="K46" i="22" s="1"/>
  <c r="J48" i="22"/>
  <c r="L48" i="22" s="1"/>
  <c r="R48" i="22"/>
  <c r="S49" i="22" s="1"/>
  <c r="I48" i="22"/>
  <c r="K48" i="22" s="1"/>
  <c r="I42" i="22"/>
  <c r="K42" i="22" s="1"/>
  <c r="R42" i="22"/>
  <c r="J42" i="22"/>
  <c r="L42" i="22" s="1"/>
  <c r="J50" i="22"/>
  <c r="L50" i="22" s="1"/>
  <c r="R50" i="22"/>
  <c r="I50" i="22"/>
  <c r="K50" i="22" s="1"/>
  <c r="J44" i="22"/>
  <c r="L44" i="22" s="1"/>
  <c r="R44" i="22"/>
  <c r="I44" i="22"/>
  <c r="K44" i="22" s="1"/>
  <c r="H41" i="22"/>
  <c r="D41" i="22" s="1"/>
  <c r="R52" i="22"/>
  <c r="J52" i="22"/>
  <c r="L52" i="22" s="1"/>
  <c r="R54" i="22"/>
  <c r="J54" i="22"/>
  <c r="L54" i="22" s="1"/>
  <c r="R56" i="22"/>
  <c r="R58" i="22" s="1"/>
  <c r="J56" i="22"/>
  <c r="L56" i="22" s="1"/>
  <c r="J51" i="22"/>
  <c r="L51" i="22" s="1"/>
  <c r="M51" i="22" s="1"/>
  <c r="R51" i="22"/>
  <c r="I52" i="22"/>
  <c r="K52" i="22" s="1"/>
  <c r="J53" i="22"/>
  <c r="L53" i="22" s="1"/>
  <c r="M53" i="22" s="1"/>
  <c r="R53" i="22"/>
  <c r="I54" i="22"/>
  <c r="K54" i="22" s="1"/>
  <c r="M54" i="22" s="1"/>
  <c r="J55" i="22"/>
  <c r="L55" i="22" s="1"/>
  <c r="M55" i="22" s="1"/>
  <c r="R55" i="22"/>
  <c r="I56" i="22"/>
  <c r="K56" i="22" s="1"/>
  <c r="P57" i="20"/>
  <c r="M56" i="22" l="1"/>
  <c r="M47" i="22"/>
  <c r="P47" i="22" s="1"/>
  <c r="N42" i="25"/>
  <c r="N43" i="25"/>
  <c r="M42" i="25"/>
  <c r="L44" i="25"/>
  <c r="O43" i="25"/>
  <c r="Q44" i="25"/>
  <c r="U44" i="25" s="1"/>
  <c r="W44" i="25" s="1"/>
  <c r="K44" i="25"/>
  <c r="J44" i="25"/>
  <c r="H45" i="25"/>
  <c r="H46" i="25" s="1"/>
  <c r="I44" i="25"/>
  <c r="T44" i="25"/>
  <c r="O42" i="25"/>
  <c r="Z41" i="25"/>
  <c r="AA41" i="25" s="1"/>
  <c r="Q43" i="25"/>
  <c r="U43" i="25" s="1"/>
  <c r="Q42" i="25"/>
  <c r="U42" i="25" s="1"/>
  <c r="X42" i="25" s="1"/>
  <c r="M44" i="22"/>
  <c r="S45" i="22"/>
  <c r="M49" i="22"/>
  <c r="M45" i="22"/>
  <c r="P45" i="22" s="1"/>
  <c r="K77" i="22" s="1"/>
  <c r="Q47" i="22"/>
  <c r="T47" i="22" s="1"/>
  <c r="M50" i="22"/>
  <c r="P50" i="22" s="1"/>
  <c r="M48" i="22"/>
  <c r="P48" i="22" s="1"/>
  <c r="M43" i="22"/>
  <c r="S43" i="22"/>
  <c r="M52" i="22"/>
  <c r="P52" i="22" s="1"/>
  <c r="P51" i="22"/>
  <c r="Q51" i="22"/>
  <c r="P53" i="22"/>
  <c r="Q53" i="22"/>
  <c r="P55" i="22"/>
  <c r="Q55" i="22"/>
  <c r="I41" i="22"/>
  <c r="K41" i="22" s="1"/>
  <c r="R41" i="22"/>
  <c r="S42" i="22" s="1"/>
  <c r="H87" i="22"/>
  <c r="J87" i="22" s="1"/>
  <c r="S55" i="22"/>
  <c r="K79" i="22"/>
  <c r="M42" i="22"/>
  <c r="H78" i="22"/>
  <c r="J78" i="22" s="1"/>
  <c r="S46" i="22"/>
  <c r="H72" i="22"/>
  <c r="J72" i="22" s="1"/>
  <c r="S40" i="22"/>
  <c r="E10" i="22" s="1"/>
  <c r="Q52" i="22"/>
  <c r="P54" i="22"/>
  <c r="Q54" i="22"/>
  <c r="H82" i="22"/>
  <c r="J82" i="22" s="1"/>
  <c r="S50" i="22"/>
  <c r="H80" i="22"/>
  <c r="J80" i="22" s="1"/>
  <c r="S48" i="22"/>
  <c r="J41" i="22"/>
  <c r="L41" i="22" s="1"/>
  <c r="Q40" i="22"/>
  <c r="T40" i="22" s="1"/>
  <c r="H84" i="22"/>
  <c r="J84" i="22" s="1"/>
  <c r="S52" i="22"/>
  <c r="H83" i="22"/>
  <c r="J83" i="22" s="1"/>
  <c r="S51" i="22"/>
  <c r="P44" i="22"/>
  <c r="Q44" i="22"/>
  <c r="H85" i="22"/>
  <c r="J85" i="22" s="1"/>
  <c r="S53" i="22"/>
  <c r="H86" i="22"/>
  <c r="J86" i="22" s="1"/>
  <c r="S54" i="22"/>
  <c r="H76" i="22"/>
  <c r="J76" i="22" s="1"/>
  <c r="S44" i="22"/>
  <c r="H74" i="22"/>
  <c r="J74" i="22" s="1"/>
  <c r="M46" i="22"/>
  <c r="M44" i="25" l="1"/>
  <c r="Z43" i="25"/>
  <c r="AA43" i="25" s="1"/>
  <c r="N44" i="25"/>
  <c r="J45" i="25"/>
  <c r="P45" i="25"/>
  <c r="Q45" i="25" s="1"/>
  <c r="U45" i="25" s="1"/>
  <c r="X44" i="25"/>
  <c r="Y44" i="25" s="1"/>
  <c r="K45" i="25"/>
  <c r="M45" i="25" s="1"/>
  <c r="O44" i="25"/>
  <c r="I45" i="25"/>
  <c r="L45" i="25"/>
  <c r="L46" i="25"/>
  <c r="T45" i="25"/>
  <c r="W42" i="25"/>
  <c r="Y42" i="25" s="1"/>
  <c r="P46" i="25"/>
  <c r="K46" i="25"/>
  <c r="M46" i="25" s="1"/>
  <c r="I46" i="25"/>
  <c r="J46" i="25"/>
  <c r="F47" i="25"/>
  <c r="W43" i="25"/>
  <c r="X43" i="25"/>
  <c r="Z42" i="25"/>
  <c r="AA42" i="25" s="1"/>
  <c r="G69" i="21"/>
  <c r="Q45" i="22"/>
  <c r="T45" i="22" s="1"/>
  <c r="V45" i="22" s="1"/>
  <c r="Q48" i="22"/>
  <c r="T48" i="22" s="1"/>
  <c r="Q49" i="22"/>
  <c r="P49" i="22"/>
  <c r="Q50" i="22"/>
  <c r="T50" i="22" s="1"/>
  <c r="Q43" i="22"/>
  <c r="P43" i="22"/>
  <c r="P46" i="22"/>
  <c r="Q46" i="22"/>
  <c r="K80" i="22"/>
  <c r="V47" i="22"/>
  <c r="U47" i="22"/>
  <c r="O47" i="22" s="1"/>
  <c r="H73" i="22"/>
  <c r="J73" i="22" s="1"/>
  <c r="S41" i="22"/>
  <c r="K76" i="22"/>
  <c r="T44" i="22"/>
  <c r="K84" i="22"/>
  <c r="T52" i="22"/>
  <c r="R31" i="22"/>
  <c r="R33" i="22" s="1"/>
  <c r="D30" i="22"/>
  <c r="D28" i="22"/>
  <c r="D26" i="22"/>
  <c r="D24" i="22"/>
  <c r="D22" i="22"/>
  <c r="D20" i="22"/>
  <c r="D29" i="22"/>
  <c r="D27" i="22"/>
  <c r="D25" i="22"/>
  <c r="D23" i="22"/>
  <c r="D21" i="22"/>
  <c r="P21" i="22" s="1"/>
  <c r="D19" i="22"/>
  <c r="D17" i="22"/>
  <c r="E11" i="22"/>
  <c r="D15" i="22"/>
  <c r="D18" i="22"/>
  <c r="P18" i="22" s="1"/>
  <c r="D16" i="22"/>
  <c r="P16" i="22" s="1"/>
  <c r="P42" i="22"/>
  <c r="Q42" i="22"/>
  <c r="M41" i="22"/>
  <c r="K85" i="22"/>
  <c r="T53" i="22"/>
  <c r="V53" i="22" s="1"/>
  <c r="K72" i="22"/>
  <c r="V40" i="22"/>
  <c r="K86" i="22"/>
  <c r="T54" i="22"/>
  <c r="V54" i="22" s="1"/>
  <c r="K82" i="22"/>
  <c r="T55" i="22"/>
  <c r="K87" i="22"/>
  <c r="T51" i="22"/>
  <c r="K83" i="22"/>
  <c r="J81" i="21"/>
  <c r="G89" i="21" s="1"/>
  <c r="G90" i="21" s="1"/>
  <c r="I90" i="21" s="1"/>
  <c r="J90" i="21" s="1"/>
  <c r="K104" i="21"/>
  <c r="G110" i="21"/>
  <c r="G111" i="21" s="1"/>
  <c r="K105" i="21"/>
  <c r="K61" i="21"/>
  <c r="J100" i="21"/>
  <c r="J79" i="21"/>
  <c r="J55" i="21"/>
  <c r="J57" i="21" s="1"/>
  <c r="K84" i="21"/>
  <c r="K83" i="21"/>
  <c r="K60" i="21"/>
  <c r="AD29" i="21"/>
  <c r="I38" i="21"/>
  <c r="H38" i="21"/>
  <c r="G38" i="21"/>
  <c r="F38" i="21"/>
  <c r="M37" i="21"/>
  <c r="L37" i="21"/>
  <c r="K37" i="21"/>
  <c r="J37" i="21"/>
  <c r="M36" i="21"/>
  <c r="L36" i="21"/>
  <c r="K36" i="21"/>
  <c r="J36" i="21"/>
  <c r="M35" i="21"/>
  <c r="L35" i="21"/>
  <c r="K35" i="21"/>
  <c r="J35" i="21"/>
  <c r="M34" i="21"/>
  <c r="L34" i="21"/>
  <c r="K34" i="21"/>
  <c r="J34" i="21"/>
  <c r="M33" i="21"/>
  <c r="L33" i="21"/>
  <c r="K33" i="21"/>
  <c r="J33" i="21"/>
  <c r="M32" i="21"/>
  <c r="L32" i="21"/>
  <c r="K32" i="21"/>
  <c r="J32" i="21"/>
  <c r="M31" i="21"/>
  <c r="L31" i="21"/>
  <c r="K31" i="21"/>
  <c r="J31" i="21"/>
  <c r="M30" i="21"/>
  <c r="L30" i="21"/>
  <c r="K30" i="21"/>
  <c r="J30" i="21"/>
  <c r="M29" i="21"/>
  <c r="L29" i="21"/>
  <c r="K29" i="21"/>
  <c r="J29" i="21"/>
  <c r="T28" i="21"/>
  <c r="X28" i="21" s="1"/>
  <c r="R28" i="21"/>
  <c r="V28" i="21" s="1"/>
  <c r="I28" i="21"/>
  <c r="M28" i="21" s="1"/>
  <c r="H28" i="21"/>
  <c r="L28" i="21" s="1"/>
  <c r="AB28" i="21" s="1"/>
  <c r="K28" i="21"/>
  <c r="AA28" i="21" s="1"/>
  <c r="F28" i="21"/>
  <c r="J28" i="21" s="1"/>
  <c r="F15" i="21"/>
  <c r="F42" i="21" s="1"/>
  <c r="F7" i="21"/>
  <c r="F41" i="21" s="1"/>
  <c r="G41" i="21" s="1"/>
  <c r="AG26" i="15"/>
  <c r="N29" i="21" l="1"/>
  <c r="AG32" i="21"/>
  <c r="Q33" i="21"/>
  <c r="C34" i="21"/>
  <c r="C30" i="21"/>
  <c r="AO33" i="21"/>
  <c r="AO35" i="21" s="1"/>
  <c r="P31" i="21"/>
  <c r="T31" i="21" s="1"/>
  <c r="X31" i="21" s="1"/>
  <c r="O31" i="21"/>
  <c r="S31" i="21" s="1"/>
  <c r="N46" i="25"/>
  <c r="N45" i="25"/>
  <c r="X45" i="25"/>
  <c r="Y45" i="25" s="1"/>
  <c r="Q46" i="25"/>
  <c r="U46" i="25" s="1"/>
  <c r="O45" i="25"/>
  <c r="Z44" i="25"/>
  <c r="AA44" i="25" s="1"/>
  <c r="H47" i="25"/>
  <c r="P48" i="25" s="1"/>
  <c r="T46" i="25"/>
  <c r="O46" i="25"/>
  <c r="Y43" i="25"/>
  <c r="K81" i="22"/>
  <c r="T49" i="22"/>
  <c r="U49" i="22" s="1"/>
  <c r="U54" i="22"/>
  <c r="O54" i="22" s="1"/>
  <c r="U45" i="22"/>
  <c r="O45" i="22" s="1"/>
  <c r="U40" i="22"/>
  <c r="O40" i="22" s="1"/>
  <c r="U53" i="22"/>
  <c r="O53" i="22" s="1"/>
  <c r="U48" i="22"/>
  <c r="O48" i="22" s="1"/>
  <c r="U50" i="22"/>
  <c r="K75" i="22"/>
  <c r="T43" i="22"/>
  <c r="U44" i="22"/>
  <c r="O44" i="22" s="1"/>
  <c r="V52" i="22"/>
  <c r="U52" i="22"/>
  <c r="O52" i="22" s="1"/>
  <c r="U51" i="22"/>
  <c r="O51" i="22" s="1"/>
  <c r="U55" i="22"/>
  <c r="O55" i="22" s="1"/>
  <c r="V50" i="22"/>
  <c r="Q18" i="22"/>
  <c r="R18" i="22"/>
  <c r="Q19" i="22"/>
  <c r="R19" i="22"/>
  <c r="P19" i="22"/>
  <c r="P27" i="22"/>
  <c r="R27" i="22"/>
  <c r="Q27" i="22"/>
  <c r="R24" i="22"/>
  <c r="P24" i="22"/>
  <c r="Q24" i="22"/>
  <c r="V44" i="22"/>
  <c r="R15" i="22"/>
  <c r="S15" i="22" s="1"/>
  <c r="Q15" i="22"/>
  <c r="P15" i="22"/>
  <c r="R21" i="22"/>
  <c r="Q21" i="22"/>
  <c r="P29" i="22"/>
  <c r="R29" i="22"/>
  <c r="Q29" i="22"/>
  <c r="R26" i="22"/>
  <c r="P26" i="22"/>
  <c r="Q26" i="22"/>
  <c r="L79" i="22"/>
  <c r="V48" i="22"/>
  <c r="V51" i="22"/>
  <c r="Q41" i="22"/>
  <c r="P41" i="22"/>
  <c r="K74" i="22"/>
  <c r="T42" i="22"/>
  <c r="R23" i="22"/>
  <c r="P23" i="22"/>
  <c r="Q23" i="22"/>
  <c r="R20" i="22"/>
  <c r="P20" i="22"/>
  <c r="Q20" i="22"/>
  <c r="R28" i="22"/>
  <c r="Q28" i="22"/>
  <c r="P28" i="22"/>
  <c r="V55" i="22"/>
  <c r="R16" i="22"/>
  <c r="Q16" i="22"/>
  <c r="P17" i="22"/>
  <c r="R17" i="22"/>
  <c r="Q17" i="22"/>
  <c r="P25" i="22"/>
  <c r="R25" i="22"/>
  <c r="Q25" i="22"/>
  <c r="P22" i="22"/>
  <c r="R22" i="22"/>
  <c r="Q22" i="22"/>
  <c r="R30" i="22"/>
  <c r="P30" i="22"/>
  <c r="Q30" i="22"/>
  <c r="K78" i="22"/>
  <c r="T46" i="22"/>
  <c r="I110" i="21"/>
  <c r="I111" i="21" s="1"/>
  <c r="J111" i="21" s="1"/>
  <c r="I68" i="21"/>
  <c r="I69" i="21"/>
  <c r="J69" i="21" s="1"/>
  <c r="I89" i="21"/>
  <c r="J89" i="21" s="1"/>
  <c r="Q31" i="21"/>
  <c r="U31" i="21" s="1"/>
  <c r="Y31" i="21" s="1"/>
  <c r="Q32" i="21"/>
  <c r="U32" i="21" s="1"/>
  <c r="Q35" i="21"/>
  <c r="U35" i="21" s="1"/>
  <c r="Y35" i="21" s="1"/>
  <c r="O35" i="21"/>
  <c r="S35" i="21" s="1"/>
  <c r="W35" i="21" s="1"/>
  <c r="R29" i="21"/>
  <c r="V29" i="21" s="1"/>
  <c r="N30" i="21"/>
  <c r="R30" i="21" s="1"/>
  <c r="V30" i="21" s="1"/>
  <c r="N32" i="21"/>
  <c r="R32" i="21" s="1"/>
  <c r="V32" i="21" s="1"/>
  <c r="N33" i="21"/>
  <c r="AH36" i="21"/>
  <c r="P29" i="21"/>
  <c r="T29" i="21" s="1"/>
  <c r="X29" i="21" s="1"/>
  <c r="AH30" i="21"/>
  <c r="AH31" i="21"/>
  <c r="AH32" i="21"/>
  <c r="AH33" i="21"/>
  <c r="AH34" i="21"/>
  <c r="AH35" i="21"/>
  <c r="P36" i="21"/>
  <c r="AG35" i="21"/>
  <c r="AH37" i="21"/>
  <c r="Q29" i="21"/>
  <c r="U29" i="21" s="1"/>
  <c r="P30" i="21"/>
  <c r="T30" i="21" s="1"/>
  <c r="X30" i="21" s="1"/>
  <c r="P32" i="21"/>
  <c r="T32" i="21" s="1"/>
  <c r="X32" i="21" s="1"/>
  <c r="P33" i="21"/>
  <c r="P35" i="21"/>
  <c r="Q36" i="21"/>
  <c r="U36" i="21" s="1"/>
  <c r="Y36" i="21" s="1"/>
  <c r="O29" i="21"/>
  <c r="S29" i="21" s="1"/>
  <c r="W29" i="21" s="1"/>
  <c r="O34" i="21"/>
  <c r="S34" i="21" s="1"/>
  <c r="W34" i="21" s="1"/>
  <c r="N34" i="21"/>
  <c r="AG37" i="21"/>
  <c r="N37" i="21"/>
  <c r="R37" i="21" s="1"/>
  <c r="Q37" i="21"/>
  <c r="U37" i="21" s="1"/>
  <c r="Y37" i="21" s="1"/>
  <c r="P37" i="21"/>
  <c r="T37" i="21" s="1"/>
  <c r="X37" i="21" s="1"/>
  <c r="AD38" i="21"/>
  <c r="AG28" i="21"/>
  <c r="Z28" i="21"/>
  <c r="M38" i="21"/>
  <c r="M41" i="21"/>
  <c r="K38" i="21"/>
  <c r="G42" i="21"/>
  <c r="L38" i="21" s="1"/>
  <c r="AC28" i="21"/>
  <c r="AH28" i="21"/>
  <c r="O30" i="21"/>
  <c r="S30" i="21" s="1"/>
  <c r="N31" i="21"/>
  <c r="R31" i="21" s="1"/>
  <c r="O33" i="21"/>
  <c r="S33" i="21" s="1"/>
  <c r="P34" i="21"/>
  <c r="AG34" i="21"/>
  <c r="N36" i="21"/>
  <c r="O44" i="21" s="1"/>
  <c r="AG30" i="21"/>
  <c r="O32" i="21"/>
  <c r="S32" i="21" s="1"/>
  <c r="AG33" i="21"/>
  <c r="Q34" i="21"/>
  <c r="U34" i="21" s="1"/>
  <c r="Y34" i="21" s="1"/>
  <c r="N35" i="21"/>
  <c r="O36" i="21"/>
  <c r="S36" i="21" s="1"/>
  <c r="O37" i="21"/>
  <c r="S37" i="21" s="1"/>
  <c r="Q30" i="21"/>
  <c r="U30" i="21" s="1"/>
  <c r="Y30" i="21" s="1"/>
  <c r="AG31" i="21"/>
  <c r="U33" i="21"/>
  <c r="Y33" i="21" s="1"/>
  <c r="AG36" i="21"/>
  <c r="H74" i="20"/>
  <c r="D70" i="20"/>
  <c r="D69" i="20"/>
  <c r="D67" i="20"/>
  <c r="D66" i="20"/>
  <c r="H56" i="20"/>
  <c r="D56" i="20" s="1"/>
  <c r="H55" i="20"/>
  <c r="D55" i="20" s="1"/>
  <c r="H54" i="20"/>
  <c r="D54" i="20" s="1"/>
  <c r="H53" i="20"/>
  <c r="D53" i="20" s="1"/>
  <c r="J53" i="20" s="1"/>
  <c r="L53" i="20" s="1"/>
  <c r="H52" i="20"/>
  <c r="D52" i="20" s="1"/>
  <c r="H51" i="20"/>
  <c r="D51" i="20" s="1"/>
  <c r="J51" i="20" s="1"/>
  <c r="L51" i="20" s="1"/>
  <c r="H50" i="20"/>
  <c r="D50" i="20" s="1"/>
  <c r="H49" i="20"/>
  <c r="D49" i="20" s="1"/>
  <c r="J49" i="20" s="1"/>
  <c r="L49" i="20" s="1"/>
  <c r="H48" i="20"/>
  <c r="D48" i="20" s="1"/>
  <c r="H47" i="20"/>
  <c r="D47" i="20" s="1"/>
  <c r="P47" i="20" s="1"/>
  <c r="H46" i="20"/>
  <c r="D46" i="20" s="1"/>
  <c r="H45" i="20"/>
  <c r="D45" i="20" s="1"/>
  <c r="H44" i="20"/>
  <c r="D44" i="20" s="1"/>
  <c r="H43" i="20"/>
  <c r="D43" i="20" s="1"/>
  <c r="J43" i="20" s="1"/>
  <c r="L43" i="20" s="1"/>
  <c r="H42" i="20"/>
  <c r="D42" i="20" s="1"/>
  <c r="J42" i="20" s="1"/>
  <c r="L42" i="20" s="1"/>
  <c r="G41" i="20"/>
  <c r="G31" i="20"/>
  <c r="F31" i="20"/>
  <c r="G30" i="20"/>
  <c r="F30" i="20"/>
  <c r="G29" i="20"/>
  <c r="G28" i="20"/>
  <c r="F28" i="20"/>
  <c r="G27" i="20"/>
  <c r="F27" i="20"/>
  <c r="G26" i="20"/>
  <c r="F26" i="20"/>
  <c r="G25" i="20"/>
  <c r="F25" i="20"/>
  <c r="G24" i="20"/>
  <c r="F24" i="20"/>
  <c r="G23" i="20"/>
  <c r="F23" i="20"/>
  <c r="G22" i="20"/>
  <c r="F22" i="20"/>
  <c r="G21" i="20"/>
  <c r="F21" i="20"/>
  <c r="G20" i="20"/>
  <c r="F20" i="20"/>
  <c r="G19" i="20"/>
  <c r="F19" i="20"/>
  <c r="G18" i="20"/>
  <c r="F18" i="20"/>
  <c r="G17" i="20"/>
  <c r="F17" i="20"/>
  <c r="F16" i="20"/>
  <c r="Y14" i="20"/>
  <c r="S20" i="22" l="1"/>
  <c r="L77" i="22"/>
  <c r="L85" i="22"/>
  <c r="AP33" i="21"/>
  <c r="L84" i="22"/>
  <c r="L72" i="22"/>
  <c r="AP35" i="21"/>
  <c r="AQ35" i="21" s="1"/>
  <c r="AQ33" i="21"/>
  <c r="T33" i="21"/>
  <c r="Q41" i="21"/>
  <c r="R33" i="21"/>
  <c r="O41" i="21"/>
  <c r="S17" i="22"/>
  <c r="O43" i="21"/>
  <c r="T34" i="21"/>
  <c r="AB34" i="21" s="1"/>
  <c r="Q42" i="21"/>
  <c r="C37" i="21"/>
  <c r="D30" i="21" s="1"/>
  <c r="R34" i="21"/>
  <c r="AA34" i="21" s="1"/>
  <c r="O42" i="21"/>
  <c r="T35" i="21"/>
  <c r="Q43" i="21"/>
  <c r="T36" i="21"/>
  <c r="Q44" i="21"/>
  <c r="Z45" i="25"/>
  <c r="AA45" i="25" s="1"/>
  <c r="X46" i="25"/>
  <c r="Y46" i="25" s="1"/>
  <c r="P47" i="25"/>
  <c r="P49" i="25" s="1"/>
  <c r="P50" i="25" s="1"/>
  <c r="Z46" i="25"/>
  <c r="AA46" i="25" s="1"/>
  <c r="L86" i="22"/>
  <c r="L80" i="22"/>
  <c r="H41" i="20"/>
  <c r="D41" i="20" s="1"/>
  <c r="J41" i="20" s="1"/>
  <c r="L41" i="20" s="1"/>
  <c r="G16" i="20"/>
  <c r="I53" i="20"/>
  <c r="K53" i="20" s="1"/>
  <c r="M53" i="20" s="1"/>
  <c r="I42" i="20"/>
  <c r="K42" i="20" s="1"/>
  <c r="I43" i="20"/>
  <c r="K43" i="20" s="1"/>
  <c r="M43" i="20" s="1"/>
  <c r="N43" i="20" s="1"/>
  <c r="Z61" i="20" s="1"/>
  <c r="V61" i="20" s="1"/>
  <c r="I49" i="20"/>
  <c r="K49" i="20" s="1"/>
  <c r="M49" i="20" s="1"/>
  <c r="N49" i="20" s="1"/>
  <c r="I51" i="20"/>
  <c r="K51" i="20" s="1"/>
  <c r="M51" i="20" s="1"/>
  <c r="P42" i="20"/>
  <c r="F77" i="20" s="1"/>
  <c r="H77" i="20" s="1"/>
  <c r="L82" i="22"/>
  <c r="O50" i="22"/>
  <c r="O49" i="22"/>
  <c r="L81" i="22"/>
  <c r="V49" i="22"/>
  <c r="S28" i="22"/>
  <c r="S25" i="22"/>
  <c r="S30" i="22"/>
  <c r="S16" i="22"/>
  <c r="S21" i="22"/>
  <c r="L76" i="22"/>
  <c r="U46" i="22"/>
  <c r="S27" i="22"/>
  <c r="V43" i="22"/>
  <c r="U43" i="22"/>
  <c r="O43" i="22" s="1"/>
  <c r="S22" i="22"/>
  <c r="U42" i="22"/>
  <c r="O42" i="22" s="1"/>
  <c r="S19" i="22"/>
  <c r="V46" i="22"/>
  <c r="K73" i="22"/>
  <c r="T41" i="22"/>
  <c r="S26" i="22"/>
  <c r="I81" i="22"/>
  <c r="M81" i="22" s="1"/>
  <c r="T24" i="22"/>
  <c r="V24" i="22" s="1"/>
  <c r="I84" i="22"/>
  <c r="M84" i="22" s="1"/>
  <c r="T27" i="22"/>
  <c r="V27" i="22" s="1"/>
  <c r="I75" i="22"/>
  <c r="T18" i="22"/>
  <c r="L87" i="22"/>
  <c r="I74" i="22"/>
  <c r="M74" i="22" s="1"/>
  <c r="T17" i="22"/>
  <c r="S24" i="22"/>
  <c r="I76" i="22"/>
  <c r="M76" i="22" s="1"/>
  <c r="T19" i="22"/>
  <c r="S18" i="22"/>
  <c r="L83" i="22"/>
  <c r="I82" i="22"/>
  <c r="M82" i="22" s="1"/>
  <c r="T25" i="22"/>
  <c r="I73" i="22"/>
  <c r="T16" i="22"/>
  <c r="I80" i="22"/>
  <c r="M80" i="22" s="1"/>
  <c r="T23" i="22"/>
  <c r="S29" i="22"/>
  <c r="I78" i="22"/>
  <c r="M78" i="22" s="1"/>
  <c r="T21" i="22"/>
  <c r="V42" i="22"/>
  <c r="I87" i="22"/>
  <c r="M87" i="22" s="1"/>
  <c r="T30" i="22"/>
  <c r="I79" i="22"/>
  <c r="M79" i="22" s="1"/>
  <c r="T22" i="22"/>
  <c r="I85" i="22"/>
  <c r="M85" i="22" s="1"/>
  <c r="T28" i="22"/>
  <c r="I77" i="22"/>
  <c r="M77" i="22" s="1"/>
  <c r="T20" i="22"/>
  <c r="S23" i="22"/>
  <c r="I83" i="22"/>
  <c r="M83" i="22" s="1"/>
  <c r="T26" i="22"/>
  <c r="I86" i="22"/>
  <c r="M86" i="22" s="1"/>
  <c r="T29" i="22"/>
  <c r="U29" i="22" s="1"/>
  <c r="I72" i="22"/>
  <c r="M72" i="22" s="1"/>
  <c r="T15" i="22"/>
  <c r="P32" i="20"/>
  <c r="J55" i="20"/>
  <c r="L55" i="20" s="1"/>
  <c r="I55" i="20"/>
  <c r="K55" i="20" s="1"/>
  <c r="I112" i="21"/>
  <c r="J110" i="21"/>
  <c r="J112" i="21" s="1"/>
  <c r="I70" i="21"/>
  <c r="Y32" i="21"/>
  <c r="AA32" i="21"/>
  <c r="AC35" i="21"/>
  <c r="Y29" i="21"/>
  <c r="AC29" i="21"/>
  <c r="Z30" i="21"/>
  <c r="I91" i="21"/>
  <c r="J91" i="21"/>
  <c r="AB35" i="21"/>
  <c r="AP32" i="21"/>
  <c r="K41" i="21"/>
  <c r="L41" i="21"/>
  <c r="Q38" i="21"/>
  <c r="U38" i="21" s="1"/>
  <c r="D35" i="21" s="1"/>
  <c r="C38" i="21"/>
  <c r="D34" i="21" s="1"/>
  <c r="AB29" i="21"/>
  <c r="Z33" i="21"/>
  <c r="AA29" i="21"/>
  <c r="Z29" i="21"/>
  <c r="Z32" i="21"/>
  <c r="O38" i="21"/>
  <c r="S38" i="21" s="1"/>
  <c r="AO30" i="21" s="1"/>
  <c r="AD33" i="21"/>
  <c r="AD30" i="21"/>
  <c r="AD34" i="21"/>
  <c r="AD35" i="21"/>
  <c r="AD37" i="21"/>
  <c r="AD36" i="21"/>
  <c r="AD32" i="21"/>
  <c r="AD31" i="21"/>
  <c r="AA30" i="21"/>
  <c r="AC34" i="21"/>
  <c r="J41" i="21"/>
  <c r="J38" i="21"/>
  <c r="AD39" i="21" s="1"/>
  <c r="AC36" i="21"/>
  <c r="AB36" i="21"/>
  <c r="W36" i="21"/>
  <c r="AC32" i="21"/>
  <c r="AB32" i="21"/>
  <c r="W32" i="21"/>
  <c r="R36" i="21"/>
  <c r="S44" i="21" s="1"/>
  <c r="AA31" i="21"/>
  <c r="Z31" i="21"/>
  <c r="V31" i="21"/>
  <c r="AA37" i="21"/>
  <c r="Z37" i="21"/>
  <c r="V37" i="21"/>
  <c r="AA33" i="21"/>
  <c r="AC37" i="21"/>
  <c r="AB37" i="21"/>
  <c r="W37" i="21"/>
  <c r="AC33" i="21"/>
  <c r="AB33" i="21"/>
  <c r="W33" i="21"/>
  <c r="R35" i="21"/>
  <c r="S43" i="21" s="1"/>
  <c r="AC31" i="21"/>
  <c r="AB31" i="21"/>
  <c r="W31" i="21"/>
  <c r="AC30" i="21"/>
  <c r="AB30" i="21"/>
  <c r="W30" i="21"/>
  <c r="P40" i="20"/>
  <c r="J40" i="20"/>
  <c r="L40" i="20" s="1"/>
  <c r="M40" i="20" s="1"/>
  <c r="N40" i="20" s="1"/>
  <c r="Z58" i="20" s="1"/>
  <c r="V58" i="20" s="1"/>
  <c r="M42" i="20"/>
  <c r="N42" i="20" s="1"/>
  <c r="O43" i="20"/>
  <c r="T59" i="20" s="1"/>
  <c r="O51" i="20"/>
  <c r="N51" i="20"/>
  <c r="I41" i="20"/>
  <c r="K41" i="20" s="1"/>
  <c r="O53" i="20"/>
  <c r="N53" i="20"/>
  <c r="J45" i="20"/>
  <c r="L45" i="20" s="1"/>
  <c r="P45" i="20"/>
  <c r="I45" i="20"/>
  <c r="K45" i="20" s="1"/>
  <c r="I46" i="20"/>
  <c r="K46" i="20" s="1"/>
  <c r="P46" i="20"/>
  <c r="Q47" i="20" s="1"/>
  <c r="J46" i="20"/>
  <c r="L46" i="20" s="1"/>
  <c r="I44" i="20"/>
  <c r="K44" i="20" s="1"/>
  <c r="P44" i="20"/>
  <c r="J44" i="20"/>
  <c r="L44" i="20" s="1"/>
  <c r="J47" i="20"/>
  <c r="L47" i="20" s="1"/>
  <c r="I47" i="20"/>
  <c r="K47" i="20" s="1"/>
  <c r="I48" i="20"/>
  <c r="K48" i="20" s="1"/>
  <c r="P48" i="20"/>
  <c r="J48" i="20"/>
  <c r="L48" i="20" s="1"/>
  <c r="I50" i="20"/>
  <c r="K50" i="20" s="1"/>
  <c r="P50" i="20"/>
  <c r="J50" i="20"/>
  <c r="L50" i="20" s="1"/>
  <c r="I52" i="20"/>
  <c r="K52" i="20" s="1"/>
  <c r="P52" i="20"/>
  <c r="J52" i="20"/>
  <c r="L52" i="20" s="1"/>
  <c r="I54" i="20"/>
  <c r="K54" i="20" s="1"/>
  <c r="P54" i="20"/>
  <c r="J54" i="20"/>
  <c r="L54" i="20" s="1"/>
  <c r="I56" i="20"/>
  <c r="K56" i="20" s="1"/>
  <c r="P56" i="20"/>
  <c r="P58" i="20" s="1"/>
  <c r="J56" i="20"/>
  <c r="L56" i="20" s="1"/>
  <c r="P43" i="20"/>
  <c r="P49" i="20"/>
  <c r="P51" i="20"/>
  <c r="P53" i="20"/>
  <c r="P55" i="20"/>
  <c r="S69" i="20" l="1"/>
  <c r="AA71" i="20" s="1"/>
  <c r="Y71" i="20" s="1"/>
  <c r="W71" i="20" s="1"/>
  <c r="X71" i="20" s="1"/>
  <c r="Z34" i="21"/>
  <c r="X35" i="21"/>
  <c r="Y43" i="21" s="1"/>
  <c r="U43" i="21"/>
  <c r="V34" i="21"/>
  <c r="W42" i="21" s="1"/>
  <c r="S42" i="21"/>
  <c r="V33" i="21"/>
  <c r="W41" i="21" s="1"/>
  <c r="S41" i="21"/>
  <c r="X33" i="21"/>
  <c r="Y41" i="21" s="1"/>
  <c r="U41" i="21"/>
  <c r="S67" i="20"/>
  <c r="X36" i="21"/>
  <c r="Y44" i="21" s="1"/>
  <c r="U44" i="21"/>
  <c r="X34" i="21"/>
  <c r="Y42" i="21" s="1"/>
  <c r="U42" i="21"/>
  <c r="P41" i="20"/>
  <c r="F76" i="20" s="1"/>
  <c r="H76" i="20" s="1"/>
  <c r="L74" i="22"/>
  <c r="P74" i="22" s="1"/>
  <c r="T69" i="20"/>
  <c r="T67" i="20"/>
  <c r="Z67" i="20"/>
  <c r="V67" i="20" s="1"/>
  <c r="I113" i="21"/>
  <c r="Z71" i="20"/>
  <c r="V71" i="20" s="1"/>
  <c r="AA69" i="20"/>
  <c r="Y69" i="20" s="1"/>
  <c r="W69" i="20" s="1"/>
  <c r="X69" i="20" s="1"/>
  <c r="Z69" i="20"/>
  <c r="V69" i="20" s="1"/>
  <c r="S59" i="20"/>
  <c r="AA61" i="20" s="1"/>
  <c r="Y61" i="20" s="1"/>
  <c r="W61" i="20" s="1"/>
  <c r="X61" i="20" s="1"/>
  <c r="M45" i="20"/>
  <c r="N45" i="20" s="1"/>
  <c r="Z63" i="20" s="1"/>
  <c r="V63" i="20" s="1"/>
  <c r="M48" i="20"/>
  <c r="N48" i="20" s="1"/>
  <c r="Q46" i="20"/>
  <c r="O49" i="20"/>
  <c r="Q45" i="20"/>
  <c r="L78" i="22"/>
  <c r="P78" i="22" s="1"/>
  <c r="O46" i="22"/>
  <c r="P82" i="22"/>
  <c r="V16" i="22"/>
  <c r="U27" i="22"/>
  <c r="P79" i="22"/>
  <c r="P81" i="22"/>
  <c r="L75" i="22"/>
  <c r="P75" i="22" s="1"/>
  <c r="V17" i="22"/>
  <c r="U17" i="22"/>
  <c r="U16" i="22"/>
  <c r="P85" i="22"/>
  <c r="V41" i="22"/>
  <c r="U41" i="22"/>
  <c r="O41" i="22" s="1"/>
  <c r="V21" i="22"/>
  <c r="U21" i="22"/>
  <c r="P84" i="22"/>
  <c r="P80" i="22"/>
  <c r="P77" i="22"/>
  <c r="U15" i="22"/>
  <c r="V30" i="22"/>
  <c r="V19" i="22"/>
  <c r="U22" i="22"/>
  <c r="U30" i="22"/>
  <c r="V18" i="22"/>
  <c r="U23" i="22"/>
  <c r="U19" i="22"/>
  <c r="V29" i="22"/>
  <c r="P76" i="22"/>
  <c r="P87" i="22"/>
  <c r="M75" i="22"/>
  <c r="V28" i="22"/>
  <c r="V26" i="22"/>
  <c r="P83" i="22"/>
  <c r="V15" i="22"/>
  <c r="U20" i="22"/>
  <c r="U28" i="22"/>
  <c r="P86" i="22"/>
  <c r="V23" i="22"/>
  <c r="U18" i="22"/>
  <c r="U24" i="22"/>
  <c r="P72" i="22"/>
  <c r="U26" i="22"/>
  <c r="V20" i="22"/>
  <c r="U25" i="22"/>
  <c r="V22" i="22"/>
  <c r="M73" i="22"/>
  <c r="V25" i="22"/>
  <c r="M56" i="20"/>
  <c r="M54" i="20"/>
  <c r="N54" i="20" s="1"/>
  <c r="M55" i="20"/>
  <c r="L60" i="21"/>
  <c r="J68" i="21" s="1"/>
  <c r="J70" i="21" s="1"/>
  <c r="I71" i="21" s="1"/>
  <c r="I92" i="21"/>
  <c r="Y38" i="21"/>
  <c r="AP34" i="21"/>
  <c r="D31" i="21"/>
  <c r="AE36" i="21"/>
  <c r="AK36" i="21" s="1"/>
  <c r="AE31" i="21"/>
  <c r="AK31" i="21" s="1"/>
  <c r="AE34" i="21"/>
  <c r="AK34" i="21" s="1"/>
  <c r="AE37" i="21"/>
  <c r="AL37" i="21" s="1"/>
  <c r="AA36" i="21"/>
  <c r="Z36" i="21"/>
  <c r="V36" i="21"/>
  <c r="W44" i="21" s="1"/>
  <c r="N38" i="21"/>
  <c r="AE35" i="21"/>
  <c r="AE33" i="21"/>
  <c r="Z43" i="21"/>
  <c r="AC38" i="21"/>
  <c r="W38" i="21"/>
  <c r="L61" i="21" s="1"/>
  <c r="AA35" i="21"/>
  <c r="Z35" i="21"/>
  <c r="V35" i="21"/>
  <c r="W43" i="21" s="1"/>
  <c r="AE32" i="21"/>
  <c r="AE29" i="21"/>
  <c r="AE30" i="21"/>
  <c r="AO32" i="21" s="1"/>
  <c r="AQ32" i="21" s="1"/>
  <c r="P38" i="21"/>
  <c r="T38" i="21" s="1"/>
  <c r="X38" i="21" s="1"/>
  <c r="F81" i="20"/>
  <c r="H81" i="20" s="1"/>
  <c r="X53" i="20"/>
  <c r="I88" i="20"/>
  <c r="R53" i="20"/>
  <c r="Y53" i="20" s="1"/>
  <c r="X43" i="20"/>
  <c r="R43" i="20"/>
  <c r="Y43" i="20" s="1"/>
  <c r="I78" i="20"/>
  <c r="F75" i="20"/>
  <c r="H75" i="20" s="1"/>
  <c r="Q40" i="20"/>
  <c r="E10" i="20" s="1"/>
  <c r="F86" i="20"/>
  <c r="H86" i="20" s="1"/>
  <c r="Q51" i="20"/>
  <c r="F84" i="20"/>
  <c r="H84" i="20" s="1"/>
  <c r="Q49" i="20"/>
  <c r="Q50" i="20"/>
  <c r="F85" i="20"/>
  <c r="H85" i="20" s="1"/>
  <c r="F90" i="20"/>
  <c r="H90" i="20" s="1"/>
  <c r="Q55" i="20"/>
  <c r="F78" i="20"/>
  <c r="H78" i="20" s="1"/>
  <c r="Q43" i="20"/>
  <c r="Q52" i="20"/>
  <c r="F87" i="20"/>
  <c r="H87" i="20" s="1"/>
  <c r="M50" i="20"/>
  <c r="M47" i="20"/>
  <c r="Q44" i="20"/>
  <c r="F79" i="20"/>
  <c r="H79" i="20" s="1"/>
  <c r="M46" i="20"/>
  <c r="F80" i="20"/>
  <c r="H80" i="20" s="1"/>
  <c r="F88" i="20"/>
  <c r="H88" i="20" s="1"/>
  <c r="Q53" i="20"/>
  <c r="Q54" i="20"/>
  <c r="F89" i="20"/>
  <c r="H89" i="20" s="1"/>
  <c r="M52" i="20"/>
  <c r="F82" i="20"/>
  <c r="H82" i="20" s="1"/>
  <c r="M44" i="20"/>
  <c r="M41" i="20"/>
  <c r="N41" i="20" s="1"/>
  <c r="Z59" i="20" s="1"/>
  <c r="V59" i="20" s="1"/>
  <c r="X51" i="20"/>
  <c r="R51" i="20"/>
  <c r="Y51" i="20" s="1"/>
  <c r="I86" i="20"/>
  <c r="O42" i="20"/>
  <c r="Z60" i="20"/>
  <c r="V60" i="20" s="1"/>
  <c r="X49" i="20"/>
  <c r="I84" i="20"/>
  <c r="Q48" i="20"/>
  <c r="F83" i="20"/>
  <c r="H83" i="20" s="1"/>
  <c r="Q42" i="20" l="1"/>
  <c r="O45" i="20"/>
  <c r="T61" i="20" s="1"/>
  <c r="Q41" i="20"/>
  <c r="L73" i="22"/>
  <c r="P73" i="22" s="1"/>
  <c r="Z72" i="20"/>
  <c r="V72" i="20" s="1"/>
  <c r="AA67" i="20"/>
  <c r="Y67" i="20" s="1"/>
  <c r="W67" i="20" s="1"/>
  <c r="X67" i="20" s="1"/>
  <c r="T65" i="20"/>
  <c r="D15" i="20"/>
  <c r="P15" i="20" s="1"/>
  <c r="Q15" i="20" s="1"/>
  <c r="J11" i="20" s="1"/>
  <c r="E11" i="20"/>
  <c r="Z66" i="20"/>
  <c r="V66" i="20" s="1"/>
  <c r="S65" i="20"/>
  <c r="T58" i="20"/>
  <c r="R49" i="20"/>
  <c r="Y49" i="20" s="1"/>
  <c r="X42" i="20"/>
  <c r="S58" i="20"/>
  <c r="AA60" i="20" s="1"/>
  <c r="Y60" i="20" s="1"/>
  <c r="W60" i="20" s="1"/>
  <c r="X60" i="20" s="1"/>
  <c r="O48" i="20"/>
  <c r="O54" i="20"/>
  <c r="S70" i="20" s="1"/>
  <c r="T43" i="20"/>
  <c r="T51" i="20"/>
  <c r="S51" i="20"/>
  <c r="Z51" i="20" s="1"/>
  <c r="O55" i="20"/>
  <c r="N55" i="20"/>
  <c r="AL36" i="21"/>
  <c r="AM36" i="21" s="1"/>
  <c r="AI31" i="21"/>
  <c r="AI36" i="21"/>
  <c r="AI34" i="21"/>
  <c r="AK37" i="21"/>
  <c r="AM37" i="21" s="1"/>
  <c r="AI33" i="21"/>
  <c r="AL33" i="21"/>
  <c r="AK33" i="21"/>
  <c r="AL34" i="21"/>
  <c r="AM34" i="21" s="1"/>
  <c r="AO34" i="21"/>
  <c r="Z41" i="21"/>
  <c r="AB38" i="21"/>
  <c r="AI37" i="21"/>
  <c r="AL31" i="21"/>
  <c r="AM31" i="21" s="1"/>
  <c r="AI32" i="21"/>
  <c r="AL32" i="21"/>
  <c r="AK32" i="21"/>
  <c r="Z42" i="21"/>
  <c r="AI30" i="21"/>
  <c r="AL30" i="21"/>
  <c r="AK30" i="21"/>
  <c r="R38" i="21"/>
  <c r="AI35" i="21"/>
  <c r="AL35" i="21"/>
  <c r="AK35" i="21"/>
  <c r="I77" i="20"/>
  <c r="R42" i="20"/>
  <c r="Y42" i="20" s="1"/>
  <c r="T49" i="20"/>
  <c r="O41" i="20"/>
  <c r="T57" i="20" s="1"/>
  <c r="N46" i="20"/>
  <c r="O46" i="20"/>
  <c r="T62" i="20" s="1"/>
  <c r="N50" i="20"/>
  <c r="O50" i="20"/>
  <c r="X45" i="20"/>
  <c r="I80" i="20"/>
  <c r="R45" i="20"/>
  <c r="Y45" i="20" s="1"/>
  <c r="T53" i="20"/>
  <c r="P31" i="20"/>
  <c r="P33" i="20" s="1"/>
  <c r="D30" i="20"/>
  <c r="D28" i="20"/>
  <c r="D26" i="20"/>
  <c r="D24" i="20"/>
  <c r="D22" i="20"/>
  <c r="D20" i="20"/>
  <c r="D18" i="20"/>
  <c r="D16" i="20"/>
  <c r="D17" i="20"/>
  <c r="D27" i="20"/>
  <c r="D23" i="20"/>
  <c r="D19" i="20"/>
  <c r="D29" i="20"/>
  <c r="D25" i="20"/>
  <c r="D21" i="20"/>
  <c r="S43" i="20"/>
  <c r="Z43" i="20" s="1"/>
  <c r="S53" i="20"/>
  <c r="Z53" i="20" s="1"/>
  <c r="N52" i="20"/>
  <c r="O52" i="20"/>
  <c r="I89" i="20"/>
  <c r="X54" i="20"/>
  <c r="N44" i="20"/>
  <c r="O44" i="20"/>
  <c r="O40" i="20"/>
  <c r="O47" i="20"/>
  <c r="N47" i="20"/>
  <c r="I83" i="20"/>
  <c r="X48" i="20"/>
  <c r="J86" i="20" l="1"/>
  <c r="S68" i="20"/>
  <c r="S66" i="20"/>
  <c r="S61" i="20"/>
  <c r="AA63" i="20" s="1"/>
  <c r="Y63" i="20" s="1"/>
  <c r="W63" i="20" s="1"/>
  <c r="X63" i="20" s="1"/>
  <c r="T71" i="20"/>
  <c r="T64" i="20"/>
  <c r="Z64" i="20"/>
  <c r="V64" i="20" s="1"/>
  <c r="S62" i="20"/>
  <c r="AA64" i="20" s="1"/>
  <c r="Y64" i="20" s="1"/>
  <c r="W64" i="20" s="1"/>
  <c r="X64" i="20" s="1"/>
  <c r="S71" i="20"/>
  <c r="AA73" i="20" s="1"/>
  <c r="Y73" i="20" s="1"/>
  <c r="W73" i="20" s="1"/>
  <c r="X73" i="20" s="1"/>
  <c r="T68" i="20"/>
  <c r="T66" i="20"/>
  <c r="AA72" i="20"/>
  <c r="Y72" i="20" s="1"/>
  <c r="W72" i="20" s="1"/>
  <c r="X72" i="20" s="1"/>
  <c r="T70" i="20"/>
  <c r="S64" i="20"/>
  <c r="AA66" i="20" s="1"/>
  <c r="Y66" i="20" s="1"/>
  <c r="W66" i="20" s="1"/>
  <c r="X66" i="20" s="1"/>
  <c r="T63" i="20"/>
  <c r="Z65" i="20"/>
  <c r="V65" i="20" s="1"/>
  <c r="S63" i="20"/>
  <c r="AA65" i="20" s="1"/>
  <c r="Y65" i="20" s="1"/>
  <c r="W65" i="20" s="1"/>
  <c r="X65" i="20" s="1"/>
  <c r="S49" i="20"/>
  <c r="Z49" i="20" s="1"/>
  <c r="AA49" i="20" s="1"/>
  <c r="AB49" i="20" s="1"/>
  <c r="S60" i="20"/>
  <c r="AA62" i="20" s="1"/>
  <c r="Y62" i="20" s="1"/>
  <c r="W62" i="20" s="1"/>
  <c r="X62" i="20" s="1"/>
  <c r="Z62" i="20"/>
  <c r="V62" i="20" s="1"/>
  <c r="Z73" i="20"/>
  <c r="V73" i="20" s="1"/>
  <c r="AA70" i="20"/>
  <c r="Y70" i="20" s="1"/>
  <c r="W70" i="20" s="1"/>
  <c r="X70" i="20" s="1"/>
  <c r="Z70" i="20"/>
  <c r="V70" i="20" s="1"/>
  <c r="AA68" i="20"/>
  <c r="Y68" i="20" s="1"/>
  <c r="W68" i="20" s="1"/>
  <c r="X68" i="20" s="1"/>
  <c r="Z68" i="20"/>
  <c r="V68" i="20" s="1"/>
  <c r="T60" i="20"/>
  <c r="R48" i="20"/>
  <c r="Y48" i="20" s="1"/>
  <c r="S57" i="20"/>
  <c r="AA59" i="20" s="1"/>
  <c r="Y59" i="20" s="1"/>
  <c r="W59" i="20" s="1"/>
  <c r="X59" i="20" s="1"/>
  <c r="R40" i="20"/>
  <c r="Y40" i="20" s="1"/>
  <c r="T56" i="20"/>
  <c r="S56" i="20"/>
  <c r="AA58" i="20" s="1"/>
  <c r="Y58" i="20" s="1"/>
  <c r="W58" i="20" s="1"/>
  <c r="X58" i="20" s="1"/>
  <c r="R54" i="20"/>
  <c r="Y54" i="20" s="1"/>
  <c r="AA43" i="20"/>
  <c r="AB43" i="20" s="1"/>
  <c r="AB61" i="20"/>
  <c r="AC61" i="20" s="1"/>
  <c r="AD61" i="20" s="1"/>
  <c r="AA53" i="20"/>
  <c r="AB53" i="20" s="1"/>
  <c r="AB71" i="20"/>
  <c r="AC71" i="20" s="1"/>
  <c r="AD71" i="20" s="1"/>
  <c r="AB67" i="20"/>
  <c r="AC67" i="20" s="1"/>
  <c r="AD67" i="20" s="1"/>
  <c r="AA51" i="20"/>
  <c r="AB51" i="20" s="1"/>
  <c r="AB69" i="20"/>
  <c r="AC69" i="20" s="1"/>
  <c r="AD69" i="20" s="1"/>
  <c r="T45" i="20"/>
  <c r="R55" i="20"/>
  <c r="Y55" i="20" s="1"/>
  <c r="I90" i="20"/>
  <c r="X55" i="20"/>
  <c r="AM33" i="21"/>
  <c r="AM30" i="21"/>
  <c r="AM35" i="21"/>
  <c r="AM32" i="21"/>
  <c r="AQ34" i="21"/>
  <c r="AA38" i="21"/>
  <c r="Z38" i="21"/>
  <c r="V38" i="21"/>
  <c r="X47" i="20"/>
  <c r="R47" i="20"/>
  <c r="Y47" i="20" s="1"/>
  <c r="I82" i="20"/>
  <c r="P23" i="20"/>
  <c r="O23" i="20"/>
  <c r="N23" i="20"/>
  <c r="N25" i="20"/>
  <c r="P25" i="20"/>
  <c r="O25" i="20"/>
  <c r="P27" i="20"/>
  <c r="O27" i="20"/>
  <c r="N27" i="20"/>
  <c r="P24" i="20"/>
  <c r="O24" i="20"/>
  <c r="N24" i="20"/>
  <c r="I79" i="20"/>
  <c r="R44" i="20"/>
  <c r="Y44" i="20" s="1"/>
  <c r="X44" i="20"/>
  <c r="J88" i="20"/>
  <c r="N29" i="20"/>
  <c r="P29" i="20"/>
  <c r="O29" i="20"/>
  <c r="P18" i="20"/>
  <c r="N18" i="20"/>
  <c r="O18" i="20"/>
  <c r="P26" i="20"/>
  <c r="N26" i="20"/>
  <c r="O26" i="20"/>
  <c r="S45" i="20"/>
  <c r="Z45" i="20" s="1"/>
  <c r="S42" i="20"/>
  <c r="I75" i="20"/>
  <c r="X40" i="20"/>
  <c r="T42" i="20"/>
  <c r="J78" i="20"/>
  <c r="P19" i="20"/>
  <c r="O19" i="20"/>
  <c r="N19" i="20"/>
  <c r="N17" i="20"/>
  <c r="P17" i="20"/>
  <c r="O17" i="20"/>
  <c r="P20" i="20"/>
  <c r="N20" i="20"/>
  <c r="O20" i="20"/>
  <c r="P28" i="20"/>
  <c r="O28" i="20"/>
  <c r="N28" i="20"/>
  <c r="I81" i="20"/>
  <c r="R46" i="20"/>
  <c r="Y46" i="20" s="1"/>
  <c r="X46" i="20"/>
  <c r="P21" i="20"/>
  <c r="O21" i="20"/>
  <c r="N21" i="20"/>
  <c r="N15" i="20"/>
  <c r="O15" i="20"/>
  <c r="N22" i="20"/>
  <c r="P22" i="20"/>
  <c r="O22" i="20"/>
  <c r="P30" i="20"/>
  <c r="N30" i="20"/>
  <c r="O30" i="20"/>
  <c r="I76" i="20"/>
  <c r="X41" i="20"/>
  <c r="R41" i="20"/>
  <c r="Y41" i="20" s="1"/>
  <c r="I87" i="20"/>
  <c r="R52" i="20"/>
  <c r="Y52" i="20" s="1"/>
  <c r="X52" i="20"/>
  <c r="P16" i="20"/>
  <c r="Q16" i="20" s="1"/>
  <c r="N16" i="20"/>
  <c r="O16" i="20"/>
  <c r="I85" i="20"/>
  <c r="R50" i="20"/>
  <c r="Y50" i="20" s="1"/>
  <c r="X50" i="20"/>
  <c r="J84" i="20" l="1"/>
  <c r="S54" i="20"/>
  <c r="J89" i="20" s="1"/>
  <c r="T40" i="20"/>
  <c r="T48" i="20"/>
  <c r="S48" i="20"/>
  <c r="AB58" i="20"/>
  <c r="AC58" i="20" s="1"/>
  <c r="AD58" i="20" s="1"/>
  <c r="T54" i="20"/>
  <c r="S41" i="20"/>
  <c r="Z41" i="20" s="1"/>
  <c r="T47" i="20"/>
  <c r="AA45" i="20"/>
  <c r="AB45" i="20" s="1"/>
  <c r="AB63" i="20"/>
  <c r="AC63" i="20" s="1"/>
  <c r="AD63" i="20" s="1"/>
  <c r="AB72" i="20"/>
  <c r="AC72" i="20" s="1"/>
  <c r="AD72" i="20" s="1"/>
  <c r="AB66" i="20"/>
  <c r="AC66" i="20" s="1"/>
  <c r="AD66" i="20" s="1"/>
  <c r="T41" i="20"/>
  <c r="U43" i="20"/>
  <c r="V43" i="20" s="1"/>
  <c r="Z42" i="20"/>
  <c r="S52" i="20"/>
  <c r="Z52" i="20" s="1"/>
  <c r="S50" i="20"/>
  <c r="J85" i="20" s="1"/>
  <c r="Q25" i="20"/>
  <c r="Q19" i="20"/>
  <c r="Q24" i="20"/>
  <c r="Q29" i="20"/>
  <c r="Q27" i="20"/>
  <c r="S47" i="20"/>
  <c r="Q22" i="20"/>
  <c r="S46" i="20"/>
  <c r="T46" i="20"/>
  <c r="Q30" i="20"/>
  <c r="T55" i="20"/>
  <c r="S55" i="20"/>
  <c r="Z55" i="20" s="1"/>
  <c r="Z44" i="21"/>
  <c r="AD40" i="21"/>
  <c r="AD41" i="21" s="1"/>
  <c r="Q20" i="20"/>
  <c r="Q18" i="20"/>
  <c r="G79" i="20"/>
  <c r="K79" i="20" s="1"/>
  <c r="X19" i="20"/>
  <c r="R19" i="20"/>
  <c r="Y19" i="20" s="1"/>
  <c r="G86" i="20"/>
  <c r="X26" i="20"/>
  <c r="R26" i="20"/>
  <c r="Y26" i="20" s="1"/>
  <c r="G76" i="20"/>
  <c r="K76" i="20" s="1"/>
  <c r="X16" i="20"/>
  <c r="R16" i="20"/>
  <c r="Y16" i="20" s="1"/>
  <c r="T50" i="20"/>
  <c r="G75" i="20"/>
  <c r="K75" i="20" s="1"/>
  <c r="X15" i="20"/>
  <c r="R15" i="20"/>
  <c r="Y15" i="20" s="1"/>
  <c r="Q21" i="20"/>
  <c r="Q28" i="20"/>
  <c r="S40" i="20"/>
  <c r="J77" i="20"/>
  <c r="J80" i="20"/>
  <c r="Q26" i="20"/>
  <c r="Q23" i="20"/>
  <c r="Q17" i="20"/>
  <c r="S44" i="20"/>
  <c r="Z44" i="20" s="1"/>
  <c r="G87" i="20"/>
  <c r="K87" i="20" s="1"/>
  <c r="X27" i="20"/>
  <c r="R27" i="20"/>
  <c r="Y27" i="20" s="1"/>
  <c r="T44" i="20"/>
  <c r="T52" i="20"/>
  <c r="G90" i="20"/>
  <c r="X30" i="20"/>
  <c r="R30" i="20"/>
  <c r="Y30" i="20" s="1"/>
  <c r="G82" i="20"/>
  <c r="K82" i="20" s="1"/>
  <c r="X22" i="20"/>
  <c r="R22" i="20"/>
  <c r="Y22" i="20" s="1"/>
  <c r="G81" i="20"/>
  <c r="K81" i="20" s="1"/>
  <c r="X21" i="20"/>
  <c r="R21" i="20"/>
  <c r="Y21" i="20" s="1"/>
  <c r="G88" i="20"/>
  <c r="K88" i="20" s="1"/>
  <c r="X28" i="20"/>
  <c r="R28" i="20"/>
  <c r="Y28" i="20" s="1"/>
  <c r="G80" i="20"/>
  <c r="K80" i="20" s="1"/>
  <c r="X20" i="20"/>
  <c r="R20" i="20"/>
  <c r="Y20" i="20" s="1"/>
  <c r="G77" i="20"/>
  <c r="K77" i="20" s="1"/>
  <c r="R17" i="20"/>
  <c r="Y17" i="20" s="1"/>
  <c r="X17" i="20"/>
  <c r="G78" i="20"/>
  <c r="K78" i="20" s="1"/>
  <c r="X18" i="20"/>
  <c r="R18" i="20"/>
  <c r="Y18" i="20" s="1"/>
  <c r="G89" i="20"/>
  <c r="K89" i="20" s="1"/>
  <c r="X29" i="20"/>
  <c r="R29" i="20"/>
  <c r="Y29" i="20" s="1"/>
  <c r="G84" i="20"/>
  <c r="K84" i="20" s="1"/>
  <c r="X24" i="20"/>
  <c r="R24" i="20"/>
  <c r="Y24" i="20" s="1"/>
  <c r="G85" i="20"/>
  <c r="K85" i="20" s="1"/>
  <c r="X25" i="20"/>
  <c r="R25" i="20"/>
  <c r="Y25" i="20" s="1"/>
  <c r="G83" i="20"/>
  <c r="K83" i="20" s="1"/>
  <c r="R23" i="20"/>
  <c r="Y23" i="20" s="1"/>
  <c r="X23" i="20"/>
  <c r="Z54" i="20" l="1"/>
  <c r="AA54" i="20" s="1"/>
  <c r="AB54" i="20" s="1"/>
  <c r="U54" i="20"/>
  <c r="V54" i="20" s="1"/>
  <c r="U50" i="20"/>
  <c r="V50" i="20" s="1"/>
  <c r="Z48" i="20"/>
  <c r="AA48" i="20" s="1"/>
  <c r="AB48" i="20" s="1"/>
  <c r="U49" i="20"/>
  <c r="V49" i="20" s="1"/>
  <c r="J83" i="20"/>
  <c r="L83" i="20" s="1"/>
  <c r="AA55" i="20"/>
  <c r="AB55" i="20" s="1"/>
  <c r="AB73" i="20"/>
  <c r="AC73" i="20" s="1"/>
  <c r="AD73" i="20" s="1"/>
  <c r="AA41" i="20"/>
  <c r="AB41" i="20" s="1"/>
  <c r="AB59" i="20"/>
  <c r="AC59" i="20" s="1"/>
  <c r="AD59" i="20" s="1"/>
  <c r="AA42" i="20"/>
  <c r="AB42" i="20" s="1"/>
  <c r="AB60" i="20"/>
  <c r="AC60" i="20" s="1"/>
  <c r="AD60" i="20" s="1"/>
  <c r="U42" i="20"/>
  <c r="V42" i="20" s="1"/>
  <c r="AA52" i="20"/>
  <c r="AB52" i="20" s="1"/>
  <c r="AB70" i="20"/>
  <c r="AC70" i="20" s="1"/>
  <c r="AD70" i="20" s="1"/>
  <c r="AA44" i="20"/>
  <c r="AB44" i="20" s="1"/>
  <c r="AB62" i="20"/>
  <c r="AC62" i="20" s="1"/>
  <c r="AD62" i="20" s="1"/>
  <c r="J87" i="20"/>
  <c r="L87" i="20" s="1"/>
  <c r="J75" i="20"/>
  <c r="L75" i="20" s="1"/>
  <c r="Z40" i="20"/>
  <c r="J76" i="20"/>
  <c r="L76" i="20" s="1"/>
  <c r="U48" i="20"/>
  <c r="V48" i="20" s="1"/>
  <c r="Z47" i="20"/>
  <c r="U53" i="20"/>
  <c r="V53" i="20" s="1"/>
  <c r="U52" i="20"/>
  <c r="V52" i="20" s="1"/>
  <c r="U46" i="20"/>
  <c r="V46" i="20" s="1"/>
  <c r="Z46" i="20"/>
  <c r="U51" i="20"/>
  <c r="V51" i="20" s="1"/>
  <c r="Z50" i="20"/>
  <c r="T27" i="20"/>
  <c r="U41" i="20"/>
  <c r="V41" i="20" s="1"/>
  <c r="S25" i="20"/>
  <c r="S15" i="20"/>
  <c r="S24" i="20"/>
  <c r="S18" i="20"/>
  <c r="S29" i="20"/>
  <c r="T25" i="20"/>
  <c r="T15" i="20"/>
  <c r="T16" i="20"/>
  <c r="L84" i="20"/>
  <c r="S16" i="20"/>
  <c r="S26" i="20"/>
  <c r="S27" i="20"/>
  <c r="L77" i="20"/>
  <c r="T24" i="20"/>
  <c r="J82" i="20"/>
  <c r="L82" i="20" s="1"/>
  <c r="J81" i="20"/>
  <c r="L81" i="20" s="1"/>
  <c r="U47" i="20"/>
  <c r="V47" i="20" s="1"/>
  <c r="T29" i="20"/>
  <c r="J90" i="20"/>
  <c r="L90" i="20" s="1"/>
  <c r="U55" i="20"/>
  <c r="V55" i="20" s="1"/>
  <c r="S21" i="20"/>
  <c r="U44" i="20"/>
  <c r="V44" i="20" s="1"/>
  <c r="J79" i="20"/>
  <c r="L79" i="20" s="1"/>
  <c r="U45" i="20"/>
  <c r="V45" i="20" s="1"/>
  <c r="S23" i="20"/>
  <c r="T26" i="20"/>
  <c r="S17" i="20"/>
  <c r="S20" i="20"/>
  <c r="S28" i="20"/>
  <c r="K90" i="20"/>
  <c r="T18" i="20"/>
  <c r="L88" i="20"/>
  <c r="L80" i="20"/>
  <c r="T19" i="20"/>
  <c r="T22" i="20"/>
  <c r="S19" i="20"/>
  <c r="T21" i="20"/>
  <c r="L85" i="20"/>
  <c r="T17" i="20"/>
  <c r="K86" i="20"/>
  <c r="L86" i="20"/>
  <c r="T23" i="20"/>
  <c r="S22" i="20"/>
  <c r="S30" i="20"/>
  <c r="T30" i="20"/>
  <c r="T20" i="20"/>
  <c r="T28" i="20"/>
  <c r="L89" i="20"/>
  <c r="L78" i="20"/>
  <c r="U27" i="20" l="1"/>
  <c r="V27" i="20" s="1"/>
  <c r="AA40" i="20"/>
  <c r="AB40" i="20" s="1"/>
  <c r="U26" i="20"/>
  <c r="V26" i="20" s="1"/>
  <c r="AA46" i="20"/>
  <c r="AB46" i="20" s="1"/>
  <c r="AB64" i="20"/>
  <c r="AC64" i="20" s="1"/>
  <c r="AD64" i="20" s="1"/>
  <c r="AA47" i="20"/>
  <c r="AB47" i="20" s="1"/>
  <c r="AB65" i="20"/>
  <c r="AC65" i="20" s="1"/>
  <c r="AD65" i="20" s="1"/>
  <c r="AA50" i="20"/>
  <c r="AB50" i="20" s="1"/>
  <c r="AB68" i="20"/>
  <c r="AC68" i="20" s="1"/>
  <c r="AD68" i="20" s="1"/>
  <c r="U30" i="20"/>
  <c r="V30" i="20" s="1"/>
  <c r="U16" i="20"/>
  <c r="V16" i="20" s="1"/>
  <c r="U25" i="20"/>
  <c r="V25" i="20" s="1"/>
  <c r="U22" i="20"/>
  <c r="V22" i="20" s="1"/>
  <c r="U24" i="20"/>
  <c r="V24" i="20" s="1"/>
  <c r="U17" i="20"/>
  <c r="V17" i="20" s="1"/>
  <c r="U18" i="20"/>
  <c r="V18" i="20" s="1"/>
  <c r="U19" i="20"/>
  <c r="V19" i="20" s="1"/>
  <c r="U28" i="20"/>
  <c r="V28" i="20" s="1"/>
  <c r="U23" i="20"/>
  <c r="V23" i="20" s="1"/>
  <c r="U20" i="20"/>
  <c r="V20" i="20" s="1"/>
  <c r="U29" i="20"/>
  <c r="V29" i="20" s="1"/>
  <c r="U21" i="20"/>
  <c r="V21" i="20" s="1"/>
  <c r="P156" i="19" l="1"/>
  <c r="R156" i="19"/>
  <c r="P157" i="19"/>
  <c r="R157" i="19"/>
  <c r="Q160" i="19"/>
  <c r="S160" i="19"/>
  <c r="L141" i="19" l="1"/>
  <c r="K141" i="19"/>
  <c r="J141" i="19"/>
  <c r="I141" i="19"/>
  <c r="R133" i="19"/>
  <c r="Q133" i="19"/>
  <c r="Q131" i="19" a="1"/>
  <c r="Q131" i="19" s="1"/>
  <c r="R130" i="19"/>
  <c r="L71" i="19"/>
  <c r="K71" i="19"/>
  <c r="J71" i="19"/>
  <c r="I71" i="19"/>
  <c r="R63" i="19"/>
  <c r="Q63" i="19"/>
  <c r="R62" i="19" a="1"/>
  <c r="R62" i="19" s="1"/>
  <c r="R61" i="19"/>
  <c r="R42" i="19"/>
  <c r="T42" i="19" s="1"/>
  <c r="Q42" i="19"/>
  <c r="S42" i="19" s="1"/>
  <c r="L42" i="19"/>
  <c r="K42" i="19"/>
  <c r="J42" i="19"/>
  <c r="I42" i="19"/>
  <c r="U41" i="19"/>
  <c r="P41" i="19"/>
  <c r="O41" i="19"/>
  <c r="N41" i="19"/>
  <c r="M41" i="19"/>
  <c r="U40" i="19"/>
  <c r="P40" i="19"/>
  <c r="O40" i="19"/>
  <c r="N40" i="19"/>
  <c r="M40" i="19"/>
  <c r="U39" i="19"/>
  <c r="P39" i="19"/>
  <c r="O39" i="19"/>
  <c r="N39" i="19"/>
  <c r="M39" i="19"/>
  <c r="A39" i="19"/>
  <c r="U38" i="19"/>
  <c r="P38" i="19"/>
  <c r="O38" i="19"/>
  <c r="N38" i="19"/>
  <c r="M38" i="19"/>
  <c r="A38" i="19"/>
  <c r="U37" i="19"/>
  <c r="P37" i="19"/>
  <c r="O37" i="19"/>
  <c r="N37" i="19"/>
  <c r="M37" i="19"/>
  <c r="A37" i="19"/>
  <c r="U36" i="19"/>
  <c r="P36" i="19"/>
  <c r="O36" i="19"/>
  <c r="N36" i="19"/>
  <c r="J154" i="19" s="1"/>
  <c r="M36" i="19"/>
  <c r="I154" i="19" s="1"/>
  <c r="D36" i="19"/>
  <c r="U35" i="19"/>
  <c r="P35" i="19"/>
  <c r="O35" i="19"/>
  <c r="N35" i="19"/>
  <c r="M35" i="19"/>
  <c r="A35" i="19"/>
  <c r="U34" i="19"/>
  <c r="P34" i="19"/>
  <c r="O34" i="19"/>
  <c r="N34" i="19"/>
  <c r="M34" i="19"/>
  <c r="A34" i="19"/>
  <c r="U33" i="19"/>
  <c r="P33" i="19"/>
  <c r="L100" i="19" s="1"/>
  <c r="O33" i="19"/>
  <c r="J65" i="19" s="1"/>
  <c r="N33" i="19"/>
  <c r="K64" i="19" s="1"/>
  <c r="M33" i="19"/>
  <c r="J64" i="19" s="1"/>
  <c r="A33" i="19"/>
  <c r="U32" i="19"/>
  <c r="P32" i="19"/>
  <c r="L99" i="19" s="1"/>
  <c r="O32" i="19"/>
  <c r="J57" i="19" s="1"/>
  <c r="N32" i="19"/>
  <c r="M32" i="19"/>
  <c r="J56" i="19" s="1"/>
  <c r="A32" i="19"/>
  <c r="U31" i="19"/>
  <c r="P31" i="19"/>
  <c r="O31" i="19"/>
  <c r="N31" i="19"/>
  <c r="M31" i="19"/>
  <c r="A31" i="19"/>
  <c r="U30" i="19"/>
  <c r="P30" i="19"/>
  <c r="O30" i="19"/>
  <c r="N30" i="19"/>
  <c r="M30" i="19"/>
  <c r="U29" i="19"/>
  <c r="V29" i="19" s="1"/>
  <c r="P29" i="19"/>
  <c r="O29" i="19"/>
  <c r="N29" i="19"/>
  <c r="M29" i="19"/>
  <c r="I19" i="19"/>
  <c r="S37" i="19" l="1"/>
  <c r="R39" i="19"/>
  <c r="S35" i="19"/>
  <c r="I82" i="19"/>
  <c r="S31" i="19"/>
  <c r="Q29" i="19"/>
  <c r="C36" i="19"/>
  <c r="J155" i="19"/>
  <c r="B36" i="19"/>
  <c r="S30" i="19"/>
  <c r="Q31" i="19"/>
  <c r="V33" i="19"/>
  <c r="Q61" i="19" s="1"/>
  <c r="Q37" i="19"/>
  <c r="Q39" i="19"/>
  <c r="V39" i="19"/>
  <c r="I148" i="19"/>
  <c r="I150" i="19"/>
  <c r="L150" i="19"/>
  <c r="J148" i="19"/>
  <c r="J150" i="19"/>
  <c r="K148" i="19"/>
  <c r="K150" i="19"/>
  <c r="L148" i="19"/>
  <c r="R29" i="19"/>
  <c r="V32" i="19"/>
  <c r="Q34" i="19"/>
  <c r="I155" i="19"/>
  <c r="T37" i="19"/>
  <c r="Q38" i="19"/>
  <c r="S40" i="19"/>
  <c r="R34" i="19"/>
  <c r="R41" i="19"/>
  <c r="U42" i="19"/>
  <c r="L158" i="19"/>
  <c r="L154" i="19"/>
  <c r="T34" i="19"/>
  <c r="K158" i="19"/>
  <c r="K154" i="19"/>
  <c r="T41" i="19"/>
  <c r="K65" i="19"/>
  <c r="K66" i="19" s="1"/>
  <c r="K177" i="19"/>
  <c r="J177" i="19"/>
  <c r="I180" i="19"/>
  <c r="I177" i="19"/>
  <c r="L180" i="19"/>
  <c r="L177" i="19"/>
  <c r="K180" i="19"/>
  <c r="J180" i="19"/>
  <c r="J128" i="19"/>
  <c r="T29" i="19"/>
  <c r="Q30" i="19"/>
  <c r="V30" i="19"/>
  <c r="T31" i="19"/>
  <c r="K128" i="19"/>
  <c r="J135" i="19"/>
  <c r="V36" i="19"/>
  <c r="Q130" i="19" s="1"/>
  <c r="T39" i="19"/>
  <c r="Q40" i="19"/>
  <c r="V40" i="19"/>
  <c r="L82" i="19"/>
  <c r="I79" i="19"/>
  <c r="K79" i="19"/>
  <c r="J79" i="19"/>
  <c r="I99" i="19"/>
  <c r="F32" i="19"/>
  <c r="K135" i="19"/>
  <c r="S38" i="19"/>
  <c r="Q41" i="19"/>
  <c r="S41" i="19"/>
  <c r="K57" i="19"/>
  <c r="L57" i="19" s="1"/>
  <c r="I100" i="19"/>
  <c r="V34" i="19"/>
  <c r="I21" i="19"/>
  <c r="S29" i="19"/>
  <c r="T30" i="19"/>
  <c r="S34" i="19"/>
  <c r="K127" i="19"/>
  <c r="V35" i="19"/>
  <c r="V37" i="19"/>
  <c r="T38" i="19"/>
  <c r="S39" i="19"/>
  <c r="T40" i="19"/>
  <c r="V41" i="19"/>
  <c r="N64" i="19"/>
  <c r="J60" i="19"/>
  <c r="J66" i="19"/>
  <c r="L64" i="19"/>
  <c r="J58" i="19"/>
  <c r="J68" i="19"/>
  <c r="T36" i="19"/>
  <c r="R38" i="19"/>
  <c r="V38" i="19"/>
  <c r="K56" i="19"/>
  <c r="S32" i="19"/>
  <c r="S33" i="19"/>
  <c r="F35" i="19"/>
  <c r="T35" i="19"/>
  <c r="Q36" i="19"/>
  <c r="R37" i="19"/>
  <c r="R40" i="19"/>
  <c r="U43" i="19"/>
  <c r="J82" i="19"/>
  <c r="J99" i="19"/>
  <c r="J100" i="19"/>
  <c r="R31" i="19"/>
  <c r="R32" i="19"/>
  <c r="F33" i="19"/>
  <c r="Q62" i="19" s="1"/>
  <c r="Q35" i="19"/>
  <c r="R36" i="19"/>
  <c r="N57" i="19"/>
  <c r="K82" i="19"/>
  <c r="K99" i="19"/>
  <c r="K105" i="19" s="1"/>
  <c r="K100" i="19"/>
  <c r="K106" i="19" s="1"/>
  <c r="J127" i="19"/>
  <c r="J136" i="19"/>
  <c r="V31" i="19"/>
  <c r="R33" i="19"/>
  <c r="R30" i="19"/>
  <c r="T32" i="19"/>
  <c r="T33" i="19"/>
  <c r="Q32" i="19"/>
  <c r="Q33" i="19"/>
  <c r="R35" i="19"/>
  <c r="S36" i="19"/>
  <c r="L79" i="19"/>
  <c r="R132" i="19"/>
  <c r="K136" i="19"/>
  <c r="L83" i="19" l="1"/>
  <c r="L91" i="19" s="1"/>
  <c r="N136" i="19"/>
  <c r="K80" i="19"/>
  <c r="J105" i="19"/>
  <c r="K60" i="19"/>
  <c r="J80" i="19"/>
  <c r="J81" i="19" s="1"/>
  <c r="I83" i="19"/>
  <c r="I91" i="19" s="1"/>
  <c r="I105" i="19"/>
  <c r="J83" i="19"/>
  <c r="J91" i="19" s="1"/>
  <c r="K83" i="19"/>
  <c r="K91" i="19" s="1"/>
  <c r="K159" i="19"/>
  <c r="L66" i="19"/>
  <c r="L80" i="19"/>
  <c r="L81" i="19" s="1"/>
  <c r="I80" i="19"/>
  <c r="I81" i="19" s="1"/>
  <c r="L65" i="19"/>
  <c r="N65" i="19"/>
  <c r="K68" i="19"/>
  <c r="K129" i="19"/>
  <c r="L136" i="19"/>
  <c r="A36" i="19"/>
  <c r="F36" i="19"/>
  <c r="N135" i="19"/>
  <c r="L128" i="19"/>
  <c r="L159" i="19"/>
  <c r="L152" i="19"/>
  <c r="J152" i="19"/>
  <c r="I149" i="19"/>
  <c r="J149" i="19"/>
  <c r="J151" i="19" s="1"/>
  <c r="L149" i="19"/>
  <c r="L151" i="19" s="1"/>
  <c r="K149" i="19"/>
  <c r="K151" i="19" s="1"/>
  <c r="K152" i="19"/>
  <c r="K137" i="19"/>
  <c r="J106" i="19"/>
  <c r="U44" i="19"/>
  <c r="I151" i="19"/>
  <c r="I152" i="19"/>
  <c r="L56" i="19"/>
  <c r="L105" i="19"/>
  <c r="L135" i="19"/>
  <c r="J178" i="19"/>
  <c r="J179" i="19" s="1"/>
  <c r="L178" i="19"/>
  <c r="L179" i="19" s="1"/>
  <c r="K178" i="19"/>
  <c r="K179" i="19" s="1"/>
  <c r="I178" i="19"/>
  <c r="I179" i="19" s="1"/>
  <c r="N128" i="19"/>
  <c r="L58" i="19"/>
  <c r="L137" i="19"/>
  <c r="L181" i="19"/>
  <c r="L189" i="19" s="1"/>
  <c r="J181" i="19"/>
  <c r="J189" i="19" s="1"/>
  <c r="K181" i="19"/>
  <c r="K189" i="19" s="1"/>
  <c r="I181" i="19"/>
  <c r="I189" i="19" s="1"/>
  <c r="L106" i="19"/>
  <c r="J129" i="19"/>
  <c r="L129" i="19"/>
  <c r="L127" i="19"/>
  <c r="N56" i="19"/>
  <c r="K58" i="19"/>
  <c r="J137" i="19"/>
  <c r="I106" i="19"/>
  <c r="N127" i="19"/>
  <c r="K81" i="19"/>
  <c r="K113" i="19" l="1"/>
  <c r="K114" i="19"/>
  <c r="R131" i="19"/>
  <c r="Q132" i="19"/>
  <c r="L160" i="19"/>
  <c r="J164" i="19"/>
  <c r="Q158" i="19"/>
  <c r="I156" i="19"/>
  <c r="I109" i="19"/>
  <c r="I110" i="19"/>
  <c r="L110" i="19"/>
  <c r="L109" i="19"/>
  <c r="J162" i="19" l="1"/>
  <c r="B27" i="18"/>
  <c r="B28" i="18" s="1"/>
  <c r="B29" i="18" s="1"/>
  <c r="G8" i="18"/>
  <c r="D8" i="18"/>
  <c r="D7" i="18"/>
  <c r="G6" i="18"/>
  <c r="F13" i="18" s="1"/>
  <c r="D6" i="18"/>
  <c r="G5" i="18"/>
  <c r="D13" i="18" s="1"/>
  <c r="D5" i="18"/>
  <c r="N84" i="17"/>
  <c r="N83" i="17"/>
  <c r="N82" i="17"/>
  <c r="N81" i="17"/>
  <c r="N80" i="17"/>
  <c r="W69" i="17"/>
  <c r="V69" i="17"/>
  <c r="U69" i="17"/>
  <c r="T69" i="17"/>
  <c r="R69" i="17"/>
  <c r="Q69" i="17"/>
  <c r="P69" i="17"/>
  <c r="O69" i="17"/>
  <c r="M69" i="17"/>
  <c r="L69" i="17"/>
  <c r="K69" i="17"/>
  <c r="J69" i="17"/>
  <c r="G69" i="17"/>
  <c r="F69" i="17"/>
  <c r="E69" i="17"/>
  <c r="D69" i="17"/>
  <c r="N65" i="17"/>
  <c r="N61" i="17"/>
  <c r="N57" i="17"/>
  <c r="N53" i="17"/>
  <c r="N49" i="17"/>
  <c r="Q45" i="17"/>
  <c r="P45" i="17"/>
  <c r="O45" i="17"/>
  <c r="N45" i="17"/>
  <c r="U44" i="17"/>
  <c r="T44" i="17"/>
  <c r="S44" i="17"/>
  <c r="R44" i="17"/>
  <c r="U43" i="17"/>
  <c r="T43" i="17"/>
  <c r="S43" i="17"/>
  <c r="R43" i="17"/>
  <c r="U42" i="17"/>
  <c r="T42" i="17"/>
  <c r="S42" i="17"/>
  <c r="R42" i="17"/>
  <c r="U41" i="17"/>
  <c r="T41" i="17"/>
  <c r="S41" i="17"/>
  <c r="R41" i="17"/>
  <c r="U40" i="17"/>
  <c r="T40" i="17"/>
  <c r="S40" i="17"/>
  <c r="R40" i="17"/>
  <c r="U39" i="17"/>
  <c r="T39" i="17"/>
  <c r="S39" i="17"/>
  <c r="R39" i="17"/>
  <c r="U38" i="17"/>
  <c r="T38" i="17"/>
  <c r="S38" i="17"/>
  <c r="R38" i="17"/>
  <c r="C38" i="17"/>
  <c r="U37" i="17"/>
  <c r="T37" i="17"/>
  <c r="S37" i="17"/>
  <c r="R37" i="17"/>
  <c r="U36" i="17"/>
  <c r="T36" i="17"/>
  <c r="S36" i="17"/>
  <c r="R36" i="17"/>
  <c r="C36" i="17"/>
  <c r="U35" i="17"/>
  <c r="T35" i="17"/>
  <c r="S35" i="17"/>
  <c r="R35" i="17"/>
  <c r="U34" i="17"/>
  <c r="T34" i="17"/>
  <c r="S34" i="17"/>
  <c r="R34" i="17"/>
  <c r="U33" i="17"/>
  <c r="T33" i="17"/>
  <c r="S33" i="17"/>
  <c r="R33" i="17"/>
  <c r="U32" i="17"/>
  <c r="T32" i="17"/>
  <c r="S32" i="17"/>
  <c r="R32" i="17"/>
  <c r="U31" i="17"/>
  <c r="T31" i="17"/>
  <c r="S31" i="17"/>
  <c r="R31" i="17"/>
  <c r="U30" i="17"/>
  <c r="T30" i="17"/>
  <c r="S30" i="17"/>
  <c r="U29" i="17"/>
  <c r="T29" i="17"/>
  <c r="S29" i="17"/>
  <c r="R29" i="17"/>
  <c r="W28" i="17"/>
  <c r="AA28" i="17" s="1"/>
  <c r="AE28" i="17" s="1"/>
  <c r="V28" i="17"/>
  <c r="Z28" i="17" s="1"/>
  <c r="AD28" i="17" s="1"/>
  <c r="E28" i="17"/>
  <c r="O15" i="17"/>
  <c r="O28" i="17" s="1"/>
  <c r="S28" i="17" s="1"/>
  <c r="AI28" i="17" s="1"/>
  <c r="O14" i="17"/>
  <c r="O8" i="17"/>
  <c r="V29" i="17" l="1"/>
  <c r="W38" i="17"/>
  <c r="W40" i="17"/>
  <c r="W44" i="17"/>
  <c r="AA44" i="17" s="1"/>
  <c r="AP33" i="17"/>
  <c r="Y39" i="17"/>
  <c r="Y41" i="17"/>
  <c r="Y43" i="17"/>
  <c r="Y31" i="17"/>
  <c r="Y40" i="17"/>
  <c r="Y42" i="17"/>
  <c r="Y33" i="17"/>
  <c r="AL45" i="17"/>
  <c r="O56" i="17"/>
  <c r="P56" i="17" s="1"/>
  <c r="AI93" i="17"/>
  <c r="AI88" i="17"/>
  <c r="AI103" i="17"/>
  <c r="AT61" i="17"/>
  <c r="AT62" i="17"/>
  <c r="AI98" i="17"/>
  <c r="AI83" i="17"/>
  <c r="AU62" i="17"/>
  <c r="AU61" i="17"/>
  <c r="N28" i="17"/>
  <c r="R28" i="17" s="1"/>
  <c r="AH28" i="17" s="1"/>
  <c r="X41" i="17"/>
  <c r="X43" i="17"/>
  <c r="Y34" i="17"/>
  <c r="W36" i="17"/>
  <c r="AA36" i="17" s="1"/>
  <c r="AE36" i="17" s="1"/>
  <c r="H36" i="17" s="1"/>
  <c r="Y44" i="17"/>
  <c r="X29" i="17"/>
  <c r="X30" i="17"/>
  <c r="X32" i="17"/>
  <c r="X33" i="17"/>
  <c r="X34" i="17"/>
  <c r="X35" i="17"/>
  <c r="Y36" i="17"/>
  <c r="V38" i="17"/>
  <c r="T76" i="17"/>
  <c r="J72" i="17"/>
  <c r="T72" i="17"/>
  <c r="Z29" i="17"/>
  <c r="AD29" i="17" s="1"/>
  <c r="W30" i="17"/>
  <c r="AA30" i="17" s="1"/>
  <c r="AE30" i="17" s="1"/>
  <c r="H30" i="17" s="1"/>
  <c r="C30" i="17" s="1"/>
  <c r="W32" i="17"/>
  <c r="AA32" i="17" s="1"/>
  <c r="AE32" i="17" s="1"/>
  <c r="H32" i="17" s="1"/>
  <c r="C32" i="17" s="1"/>
  <c r="X36" i="17"/>
  <c r="Y37" i="17"/>
  <c r="X38" i="17"/>
  <c r="T75" i="17"/>
  <c r="Q28" i="17"/>
  <c r="U28" i="17" s="1"/>
  <c r="Y29" i="17"/>
  <c r="Y30" i="17"/>
  <c r="V32" i="17"/>
  <c r="Z32" i="17" s="1"/>
  <c r="Y38" i="17"/>
  <c r="V39" i="17"/>
  <c r="Z39" i="17" s="1"/>
  <c r="AD39" i="17" s="1"/>
  <c r="V40" i="17"/>
  <c r="Z40" i="17" s="1"/>
  <c r="T74" i="17"/>
  <c r="V42" i="17"/>
  <c r="Z42" i="17" s="1"/>
  <c r="V43" i="17"/>
  <c r="Z43" i="17" s="1"/>
  <c r="AD43" i="17" s="1"/>
  <c r="V44" i="17"/>
  <c r="Z44" i="17" s="1"/>
  <c r="X44" i="17"/>
  <c r="E18" i="18"/>
  <c r="E19" i="18" s="1"/>
  <c r="B30" i="18"/>
  <c r="B31" i="18" s="1"/>
  <c r="B32" i="18" s="1"/>
  <c r="B33" i="18" s="1"/>
  <c r="C29" i="18"/>
  <c r="D14" i="18"/>
  <c r="F19" i="18"/>
  <c r="C27" i="18"/>
  <c r="F14" i="18"/>
  <c r="C28" i="18"/>
  <c r="G7" i="18"/>
  <c r="V31" i="17"/>
  <c r="Z31" i="17" s="1"/>
  <c r="P28" i="17"/>
  <c r="T28" i="17" s="1"/>
  <c r="AJ28" i="17" s="1"/>
  <c r="X28" i="17"/>
  <c r="AB28" i="17" s="1"/>
  <c r="AF28" i="17" s="1"/>
  <c r="V30" i="17"/>
  <c r="Z30" i="17" s="1"/>
  <c r="V37" i="17"/>
  <c r="Z37" i="17" s="1"/>
  <c r="Y28" i="17"/>
  <c r="AC28" i="17" s="1"/>
  <c r="AG28" i="17" s="1"/>
  <c r="O16" i="17"/>
  <c r="AI89" i="17" s="1"/>
  <c r="W29" i="17"/>
  <c r="AA29" i="17" s="1"/>
  <c r="Y32" i="17"/>
  <c r="V33" i="17"/>
  <c r="Z33" i="17" s="1"/>
  <c r="W42" i="17"/>
  <c r="AA42" i="17" s="1"/>
  <c r="X42" i="17"/>
  <c r="O52" i="17"/>
  <c r="O64" i="17"/>
  <c r="O60" i="17"/>
  <c r="O48" i="17"/>
  <c r="X31" i="17"/>
  <c r="W31" i="17"/>
  <c r="AA31" i="17" s="1"/>
  <c r="V34" i="17"/>
  <c r="Z34" i="17" s="1"/>
  <c r="D72" i="17"/>
  <c r="V35" i="17"/>
  <c r="Z38" i="17"/>
  <c r="Y35" i="17"/>
  <c r="V36" i="17"/>
  <c r="AA40" i="17"/>
  <c r="T73" i="17"/>
  <c r="W33" i="17"/>
  <c r="AA33" i="17" s="1"/>
  <c r="W34" i="17"/>
  <c r="AA34" i="17" s="1"/>
  <c r="W35" i="17"/>
  <c r="AA35" i="17" s="1"/>
  <c r="X40" i="17"/>
  <c r="V41" i="17"/>
  <c r="Z41" i="17" s="1"/>
  <c r="X37" i="17"/>
  <c r="AA38" i="17"/>
  <c r="X39" i="17"/>
  <c r="D76" i="17"/>
  <c r="W37" i="17"/>
  <c r="AA37" i="17" s="1"/>
  <c r="W39" i="17"/>
  <c r="AA39" i="17" s="1"/>
  <c r="W41" i="17"/>
  <c r="AA41" i="17" s="1"/>
  <c r="W43" i="17"/>
  <c r="AA43" i="17" s="1"/>
  <c r="O72" i="17"/>
  <c r="O73" i="17"/>
  <c r="O74" i="17"/>
  <c r="O75" i="17"/>
  <c r="O76" i="17"/>
  <c r="J73" i="17"/>
  <c r="J74" i="17"/>
  <c r="J75" i="17"/>
  <c r="J76" i="17"/>
  <c r="D73" i="17"/>
  <c r="D74" i="17"/>
  <c r="D75" i="17"/>
  <c r="O65" i="17" l="1"/>
  <c r="O49" i="17"/>
  <c r="U45" i="17" s="1"/>
  <c r="AB43" i="17"/>
  <c r="AF43" i="17" s="1"/>
  <c r="O57" i="17"/>
  <c r="P57" i="17" s="1"/>
  <c r="T56" i="17" s="1"/>
  <c r="AA59" i="17" s="1"/>
  <c r="AB35" i="17"/>
  <c r="AF35" i="17" s="1"/>
  <c r="AC42" i="17"/>
  <c r="AG42" i="17" s="1"/>
  <c r="AC41" i="17"/>
  <c r="AG41" i="17" s="1"/>
  <c r="AB39" i="17"/>
  <c r="AF39" i="17" s="1"/>
  <c r="AC39" i="17"/>
  <c r="AG39" i="17" s="1"/>
  <c r="AI94" i="17"/>
  <c r="AJ94" i="17" s="1"/>
  <c r="AL93" i="17" s="1"/>
  <c r="AJ89" i="17"/>
  <c r="AN88" i="17" s="1"/>
  <c r="AC35" i="17"/>
  <c r="AG35" i="17" s="1"/>
  <c r="AB31" i="17"/>
  <c r="AF31" i="17" s="1"/>
  <c r="AC32" i="17"/>
  <c r="AG32" i="17" s="1"/>
  <c r="AI104" i="17"/>
  <c r="AJ104" i="17" s="1"/>
  <c r="AN103" i="17" s="1"/>
  <c r="BB61" i="17"/>
  <c r="AX61" i="17"/>
  <c r="AX62" i="17"/>
  <c r="AB36" i="17"/>
  <c r="AF36" i="17" s="1"/>
  <c r="AJ103" i="17"/>
  <c r="AJ88" i="17"/>
  <c r="AO88" i="17"/>
  <c r="AC44" i="17"/>
  <c r="AG44" i="17" s="1"/>
  <c r="AV62" i="17"/>
  <c r="AZ62" i="17" s="1"/>
  <c r="AV61" i="17"/>
  <c r="AZ61" i="17" s="1"/>
  <c r="AW61" i="17"/>
  <c r="BA61" i="17" s="1"/>
  <c r="AW62" i="17"/>
  <c r="BA62" i="17" s="1"/>
  <c r="O53" i="17"/>
  <c r="AC40" i="17"/>
  <c r="AG40" i="17" s="1"/>
  <c r="AB40" i="17"/>
  <c r="AF40" i="17" s="1"/>
  <c r="AC43" i="17"/>
  <c r="AG43" i="17" s="1"/>
  <c r="AY61" i="17"/>
  <c r="BD61" i="17"/>
  <c r="BE61" i="17"/>
  <c r="AJ93" i="17"/>
  <c r="AO93" i="17"/>
  <c r="AY62" i="17"/>
  <c r="AB42" i="17"/>
  <c r="AF42" i="17" s="1"/>
  <c r="AB30" i="17"/>
  <c r="AF30" i="17" s="1"/>
  <c r="AI99" i="17"/>
  <c r="AJ83" i="17"/>
  <c r="AC38" i="17"/>
  <c r="AG38" i="17" s="1"/>
  <c r="AB41" i="17"/>
  <c r="AF41" i="17" s="1"/>
  <c r="AB37" i="17"/>
  <c r="AF37" i="17" s="1"/>
  <c r="AC33" i="17"/>
  <c r="AG33" i="17" s="1"/>
  <c r="AB32" i="17"/>
  <c r="AF32" i="17" s="1"/>
  <c r="AI84" i="17"/>
  <c r="AJ98" i="17"/>
  <c r="AK28" i="17"/>
  <c r="AC34" i="17"/>
  <c r="AG34" i="17" s="1"/>
  <c r="AC37" i="17"/>
  <c r="AG37" i="17" s="1"/>
  <c r="Y50" i="17"/>
  <c r="AB38" i="17"/>
  <c r="AF38" i="17" s="1"/>
  <c r="C30" i="18"/>
  <c r="E30" i="18" s="1"/>
  <c r="E28" i="18"/>
  <c r="D28" i="18"/>
  <c r="F28" i="18"/>
  <c r="C32" i="18"/>
  <c r="C31" i="18"/>
  <c r="D29" i="18"/>
  <c r="F29" i="18"/>
  <c r="E29" i="18"/>
  <c r="F27" i="18"/>
  <c r="E27" i="18"/>
  <c r="D27" i="18"/>
  <c r="B34" i="18"/>
  <c r="C33" i="18"/>
  <c r="E21" i="18"/>
  <c r="E20" i="18"/>
  <c r="AD33" i="17"/>
  <c r="AJ43" i="17"/>
  <c r="AE43" i="17"/>
  <c r="S56" i="17"/>
  <c r="Z59" i="17" s="1"/>
  <c r="P65" i="17"/>
  <c r="T64" i="17" s="1"/>
  <c r="AA61" i="17" s="1"/>
  <c r="AE33" i="17"/>
  <c r="H33" i="17" s="1"/>
  <c r="I33" i="17" s="1"/>
  <c r="AK33" i="17"/>
  <c r="AE40" i="17"/>
  <c r="AK40" i="17"/>
  <c r="AJ40" i="17"/>
  <c r="AI34" i="17"/>
  <c r="AD34" i="17"/>
  <c r="U52" i="17"/>
  <c r="AB58" i="17" s="1"/>
  <c r="P52" i="17"/>
  <c r="I32" i="17"/>
  <c r="AB44" i="17"/>
  <c r="AF44" i="17" s="1"/>
  <c r="O61" i="17"/>
  <c r="U60" i="17" s="1"/>
  <c r="AB60" i="17" s="1"/>
  <c r="AH39" i="17"/>
  <c r="AC29" i="17"/>
  <c r="AK41" i="17"/>
  <c r="AJ41" i="17"/>
  <c r="AE41" i="17"/>
  <c r="Y48" i="17"/>
  <c r="Z35" i="17"/>
  <c r="U48" i="17"/>
  <c r="AB57" i="17" s="1"/>
  <c r="P48" i="17"/>
  <c r="S48" i="17" s="1"/>
  <c r="Z57" i="17" s="1"/>
  <c r="AE42" i="17"/>
  <c r="AK42" i="17"/>
  <c r="AJ42" i="17"/>
  <c r="AI32" i="17"/>
  <c r="AH32" i="17"/>
  <c r="AD32" i="17"/>
  <c r="AH43" i="17"/>
  <c r="AD30" i="17"/>
  <c r="AK39" i="17"/>
  <c r="AE39" i="17"/>
  <c r="AI42" i="17"/>
  <c r="AH42" i="17"/>
  <c r="AD42" i="17"/>
  <c r="AE38" i="17"/>
  <c r="H38" i="17" s="1"/>
  <c r="I38" i="17" s="1"/>
  <c r="AK38" i="17"/>
  <c r="AJ38" i="17"/>
  <c r="AE44" i="17"/>
  <c r="AK44" i="17"/>
  <c r="AJ44" i="17"/>
  <c r="AJ35" i="17"/>
  <c r="AE35" i="17"/>
  <c r="H35" i="17" s="1"/>
  <c r="I35" i="17" s="1"/>
  <c r="AK35" i="17"/>
  <c r="P60" i="17"/>
  <c r="AK32" i="17"/>
  <c r="AC36" i="17"/>
  <c r="AC31" i="17"/>
  <c r="AG31" i="17" s="1"/>
  <c r="AI43" i="17"/>
  <c r="AB33" i="17"/>
  <c r="AF33" i="17" s="1"/>
  <c r="AB34" i="17"/>
  <c r="AF34" i="17" s="1"/>
  <c r="AI39" i="17"/>
  <c r="AJ36" i="17"/>
  <c r="AB29" i="17"/>
  <c r="AJ29" i="17" s="1"/>
  <c r="P49" i="17"/>
  <c r="T48" i="17" s="1"/>
  <c r="AA57" i="17" s="1"/>
  <c r="AI40" i="17"/>
  <c r="AH40" i="17"/>
  <c r="AD40" i="17"/>
  <c r="Y49" i="17"/>
  <c r="Z36" i="17"/>
  <c r="P53" i="17"/>
  <c r="T52" i="17" s="1"/>
  <c r="AA58" i="17" s="1"/>
  <c r="AK37" i="17"/>
  <c r="AJ37" i="17"/>
  <c r="AE37" i="17"/>
  <c r="H37" i="17" s="1"/>
  <c r="I37" i="17" s="1"/>
  <c r="AI41" i="17"/>
  <c r="AD41" i="17"/>
  <c r="AH41" i="17"/>
  <c r="AE34" i="17"/>
  <c r="H34" i="17" s="1"/>
  <c r="C34" i="17" s="1"/>
  <c r="AK34" i="17"/>
  <c r="AI44" i="17"/>
  <c r="AD44" i="17"/>
  <c r="AC50" i="17"/>
  <c r="AI38" i="17"/>
  <c r="AH38" i="17"/>
  <c r="AD38" i="17"/>
  <c r="AJ31" i="17"/>
  <c r="AE31" i="17"/>
  <c r="H31" i="17" s="1"/>
  <c r="U64" i="17"/>
  <c r="AB61" i="17" s="1"/>
  <c r="P64" i="17"/>
  <c r="AE29" i="17"/>
  <c r="H29" i="17" s="1"/>
  <c r="C29" i="17" s="1"/>
  <c r="AI37" i="17"/>
  <c r="AD37" i="17"/>
  <c r="AH37" i="17"/>
  <c r="AD31" i="17"/>
  <c r="AH31" i="17"/>
  <c r="AC30" i="17"/>
  <c r="C31" i="17"/>
  <c r="U56" i="17"/>
  <c r="AB59" i="17" s="1"/>
  <c r="F19" i="11"/>
  <c r="E19" i="11"/>
  <c r="D19" i="11"/>
  <c r="C19" i="11"/>
  <c r="Q28" i="14"/>
  <c r="U28" i="14" s="1"/>
  <c r="H24" i="15"/>
  <c r="L24" i="15" s="1"/>
  <c r="AF24" i="15" s="1"/>
  <c r="G24" i="15"/>
  <c r="K24" i="15" s="1"/>
  <c r="AE24" i="15" s="1"/>
  <c r="F24" i="15"/>
  <c r="J24" i="15" s="1"/>
  <c r="AD24" i="15" s="1"/>
  <c r="E24" i="15"/>
  <c r="I24" i="15" s="1"/>
  <c r="AC24" i="15" s="1"/>
  <c r="S28" i="14"/>
  <c r="W28" i="14" s="1"/>
  <c r="H28" i="14"/>
  <c r="L28" i="14" s="1"/>
  <c r="G28" i="14"/>
  <c r="K28" i="14" s="1"/>
  <c r="AA28" i="14" s="1"/>
  <c r="F28" i="14"/>
  <c r="J28" i="14" s="1"/>
  <c r="E28" i="14"/>
  <c r="I28" i="14" s="1"/>
  <c r="AF28" i="14" s="1"/>
  <c r="H38" i="14"/>
  <c r="G38" i="14"/>
  <c r="F38" i="14"/>
  <c r="E38" i="14"/>
  <c r="L37" i="14"/>
  <c r="K37" i="14"/>
  <c r="J37" i="14"/>
  <c r="I37" i="14"/>
  <c r="L36" i="14"/>
  <c r="K36" i="14"/>
  <c r="N36" i="14" s="1"/>
  <c r="J36" i="14"/>
  <c r="I36" i="14"/>
  <c r="L35" i="14"/>
  <c r="K35" i="14"/>
  <c r="J35" i="14"/>
  <c r="I35" i="14"/>
  <c r="L34" i="14"/>
  <c r="K34" i="14"/>
  <c r="N34" i="14" s="1"/>
  <c r="J34" i="14"/>
  <c r="I34" i="14"/>
  <c r="L33" i="14"/>
  <c r="K33" i="14"/>
  <c r="J33" i="14"/>
  <c r="I33" i="14"/>
  <c r="L32" i="14"/>
  <c r="K32" i="14"/>
  <c r="N32" i="14" s="1"/>
  <c r="J32" i="14"/>
  <c r="I32" i="14"/>
  <c r="L31" i="14"/>
  <c r="K31" i="14"/>
  <c r="J31" i="14"/>
  <c r="I31" i="14"/>
  <c r="L30" i="14"/>
  <c r="K30" i="14"/>
  <c r="J30" i="14"/>
  <c r="I30" i="14"/>
  <c r="L29" i="14"/>
  <c r="K29" i="14"/>
  <c r="J29" i="14"/>
  <c r="I29" i="14"/>
  <c r="AJ39" i="17" l="1"/>
  <c r="AH30" i="17"/>
  <c r="AJ30" i="17"/>
  <c r="AM93" i="17"/>
  <c r="R64" i="17"/>
  <c r="Y61" i="17" s="1"/>
  <c r="AK43" i="17"/>
  <c r="AH44" i="17"/>
  <c r="N31" i="14"/>
  <c r="N33" i="14"/>
  <c r="N35" i="14"/>
  <c r="AG34" i="14"/>
  <c r="AG50" i="17"/>
  <c r="AN93" i="17"/>
  <c r="AL88" i="17"/>
  <c r="AO103" i="17"/>
  <c r="R56" i="17"/>
  <c r="Y59" i="17" s="1"/>
  <c r="E74" i="17" s="1"/>
  <c r="G74" i="17" s="1"/>
  <c r="AJ32" i="17"/>
  <c r="O29" i="14"/>
  <c r="F30" i="18"/>
  <c r="AJ84" i="17"/>
  <c r="AN83" i="17" s="1"/>
  <c r="AM83" i="17"/>
  <c r="AJ99" i="17"/>
  <c r="AN98" i="17" s="1"/>
  <c r="AM98" i="17"/>
  <c r="S45" i="17"/>
  <c r="Y45" i="17" s="1"/>
  <c r="AC45" i="17" s="1"/>
  <c r="AG45" i="17" s="1"/>
  <c r="AM103" i="17"/>
  <c r="AL103" i="17"/>
  <c r="AH75" i="17"/>
  <c r="AI75" i="17" s="1"/>
  <c r="BB62" i="17"/>
  <c r="AO98" i="17"/>
  <c r="BE62" i="17"/>
  <c r="BC62" i="17"/>
  <c r="R52" i="17"/>
  <c r="Y58" i="17" s="1"/>
  <c r="AI33" i="17"/>
  <c r="AO83" i="17"/>
  <c r="BD62" i="17"/>
  <c r="AM88" i="17"/>
  <c r="BC61" i="17"/>
  <c r="AH50" i="17"/>
  <c r="AJ34" i="17"/>
  <c r="AK31" i="17"/>
  <c r="P29" i="14"/>
  <c r="P31" i="14"/>
  <c r="P32" i="14"/>
  <c r="P33" i="14"/>
  <c r="P34" i="14"/>
  <c r="P35" i="14"/>
  <c r="P36" i="14"/>
  <c r="AI31" i="17"/>
  <c r="AH34" i="17"/>
  <c r="S64" i="17"/>
  <c r="Z61" i="17" s="1"/>
  <c r="E76" i="17" s="1"/>
  <c r="G76" i="17" s="1"/>
  <c r="O84" i="17" s="1"/>
  <c r="AG33" i="14"/>
  <c r="AK33" i="14" s="1"/>
  <c r="AG35" i="14"/>
  <c r="Y28" i="14"/>
  <c r="M32" i="14"/>
  <c r="AF36" i="14"/>
  <c r="M34" i="14"/>
  <c r="N42" i="14" s="1"/>
  <c r="D30" i="18"/>
  <c r="F31" i="18"/>
  <c r="E31" i="18"/>
  <c r="D31" i="18"/>
  <c r="D33" i="18"/>
  <c r="F33" i="18"/>
  <c r="E33" i="18"/>
  <c r="E32" i="18"/>
  <c r="D32" i="18"/>
  <c r="F32" i="18"/>
  <c r="B35" i="18"/>
  <c r="C34" i="18"/>
  <c r="J38" i="17"/>
  <c r="L38" i="17" s="1"/>
  <c r="D38" i="17"/>
  <c r="K38" i="17"/>
  <c r="F38" i="17" s="1"/>
  <c r="K35" i="17"/>
  <c r="J35" i="17"/>
  <c r="L35" i="17" s="1"/>
  <c r="AG29" i="17"/>
  <c r="I29" i="17" s="1"/>
  <c r="AI29" i="17"/>
  <c r="AK29" i="17"/>
  <c r="S52" i="17"/>
  <c r="Z58" i="17" s="1"/>
  <c r="P73" i="17" s="1"/>
  <c r="R73" i="17" s="1"/>
  <c r="Q81" i="17" s="1"/>
  <c r="AC49" i="17"/>
  <c r="AH36" i="17"/>
  <c r="AD36" i="17"/>
  <c r="AI36" i="17"/>
  <c r="I31" i="17"/>
  <c r="AI35" i="17"/>
  <c r="AD35" i="17"/>
  <c r="AG48" i="17" s="1"/>
  <c r="AC48" i="17"/>
  <c r="AH35" i="17"/>
  <c r="AM38" i="17"/>
  <c r="AM36" i="17"/>
  <c r="AM33" i="17"/>
  <c r="AM30" i="17"/>
  <c r="AP32" i="17" s="1"/>
  <c r="AM39" i="17"/>
  <c r="AH33" i="17"/>
  <c r="T45" i="17"/>
  <c r="AG30" i="17"/>
  <c r="I30" i="17" s="1"/>
  <c r="AK30" i="17"/>
  <c r="AG36" i="17"/>
  <c r="I36" i="17" s="1"/>
  <c r="AK36" i="17"/>
  <c r="AI30" i="17"/>
  <c r="P61" i="17"/>
  <c r="T60" i="17" s="1"/>
  <c r="AA60" i="17" s="1"/>
  <c r="S60" i="17"/>
  <c r="Z60" i="17" s="1"/>
  <c r="AF29" i="17"/>
  <c r="AH29" i="17"/>
  <c r="K33" i="17"/>
  <c r="F33" i="17" s="1"/>
  <c r="J33" i="17"/>
  <c r="D33" i="17"/>
  <c r="R48" i="17"/>
  <c r="Y57" i="17" s="1"/>
  <c r="R45" i="17"/>
  <c r="K37" i="17"/>
  <c r="J37" i="17"/>
  <c r="L37" i="17" s="1"/>
  <c r="J32" i="17"/>
  <c r="E32" i="17" s="1"/>
  <c r="D32" i="17"/>
  <c r="K32" i="17"/>
  <c r="F32" i="17" s="1"/>
  <c r="AJ33" i="17"/>
  <c r="I34" i="17"/>
  <c r="M29" i="14"/>
  <c r="N29" i="14"/>
  <c r="AG32" i="14"/>
  <c r="AG36" i="14"/>
  <c r="M31" i="14"/>
  <c r="M33" i="14"/>
  <c r="N41" i="14" s="1"/>
  <c r="AF35" i="14"/>
  <c r="AF37" i="14"/>
  <c r="AF30" i="14"/>
  <c r="AG30" i="14"/>
  <c r="AG37" i="14"/>
  <c r="O36" i="14"/>
  <c r="P44" i="14" s="1"/>
  <c r="AF34" i="14"/>
  <c r="O31" i="14"/>
  <c r="O32" i="14"/>
  <c r="O33" i="14"/>
  <c r="P41" i="14" s="1"/>
  <c r="O34" i="14"/>
  <c r="O35" i="14"/>
  <c r="P43" i="14" s="1"/>
  <c r="AF33" i="14"/>
  <c r="AJ33" i="14" s="1"/>
  <c r="M36" i="14"/>
  <c r="N44" i="14" s="1"/>
  <c r="AF32" i="14"/>
  <c r="M35" i="14"/>
  <c r="N43" i="14" s="1"/>
  <c r="P37" i="14"/>
  <c r="O37" i="14"/>
  <c r="M37" i="14"/>
  <c r="N37" i="14"/>
  <c r="Z28" i="14"/>
  <c r="AB28" i="14"/>
  <c r="AG28" i="14"/>
  <c r="N30" i="14"/>
  <c r="P30" i="14"/>
  <c r="O30" i="14"/>
  <c r="AF31" i="14"/>
  <c r="M30" i="14"/>
  <c r="AG31" i="14"/>
  <c r="AH74" i="17" l="1"/>
  <c r="AI74" i="17" s="1"/>
  <c r="AL98" i="17"/>
  <c r="P74" i="17"/>
  <c r="R74" i="17" s="1"/>
  <c r="Q82" i="17" s="1"/>
  <c r="AL83" i="17"/>
  <c r="U76" i="17"/>
  <c r="W76" i="17" s="1"/>
  <c r="R84" i="17" s="1"/>
  <c r="AL33" i="14"/>
  <c r="AH77" i="17"/>
  <c r="AI77" i="17" s="1"/>
  <c r="U74" i="17"/>
  <c r="W74" i="17" s="1"/>
  <c r="R82" i="17" s="1"/>
  <c r="K74" i="17"/>
  <c r="M74" i="17" s="1"/>
  <c r="P82" i="17" s="1"/>
  <c r="P42" i="14"/>
  <c r="AL46" i="17"/>
  <c r="AQ32" i="17"/>
  <c r="AR32" i="17" s="1"/>
  <c r="AQ33" i="17"/>
  <c r="AH76" i="17"/>
  <c r="AI76" i="17" s="1"/>
  <c r="AH73" i="17"/>
  <c r="AI73" i="17" s="1"/>
  <c r="E73" i="17"/>
  <c r="G73" i="17" s="1"/>
  <c r="K76" i="17"/>
  <c r="M76" i="17" s="1"/>
  <c r="P84" i="17" s="1"/>
  <c r="K73" i="17"/>
  <c r="M73" i="17" s="1"/>
  <c r="P81" i="17" s="1"/>
  <c r="P76" i="17"/>
  <c r="R76" i="17" s="1"/>
  <c r="Q84" i="17" s="1"/>
  <c r="AM34" i="17"/>
  <c r="AM41" i="17"/>
  <c r="U73" i="17"/>
  <c r="W73" i="17" s="1"/>
  <c r="R81" i="17" s="1"/>
  <c r="B36" i="18"/>
  <c r="C35" i="18"/>
  <c r="F34" i="18"/>
  <c r="E34" i="18"/>
  <c r="D34" i="18"/>
  <c r="K34" i="17"/>
  <c r="F34" i="17" s="1"/>
  <c r="J34" i="17"/>
  <c r="E34" i="17" s="1"/>
  <c r="L34" i="17" s="1"/>
  <c r="D34" i="17"/>
  <c r="AM42" i="17"/>
  <c r="J31" i="17"/>
  <c r="L31" i="17" s="1"/>
  <c r="K31" i="17"/>
  <c r="F31" i="17" s="1"/>
  <c r="D31" i="17"/>
  <c r="K30" i="17"/>
  <c r="F30" i="17" s="1"/>
  <c r="J30" i="17"/>
  <c r="E30" i="17" s="1"/>
  <c r="L30" i="17" s="1"/>
  <c r="D30" i="17"/>
  <c r="AM37" i="17"/>
  <c r="AM29" i="17"/>
  <c r="AM35" i="17"/>
  <c r="AM43" i="17"/>
  <c r="AM44" i="17"/>
  <c r="K29" i="17"/>
  <c r="F29" i="17" s="1"/>
  <c r="J29" i="17"/>
  <c r="E29" i="17" s="1"/>
  <c r="L29" i="17" s="1"/>
  <c r="D29" i="17"/>
  <c r="E33" i="17"/>
  <c r="L33" i="17" s="1"/>
  <c r="L32" i="17"/>
  <c r="K36" i="17"/>
  <c r="F36" i="17" s="1"/>
  <c r="D36" i="17"/>
  <c r="J36" i="17"/>
  <c r="L36" i="17" s="1"/>
  <c r="W45" i="17"/>
  <c r="AA45" i="17" s="1"/>
  <c r="AP30" i="17" s="1"/>
  <c r="X45" i="17"/>
  <c r="AB45" i="17" s="1"/>
  <c r="AF45" i="17" s="1"/>
  <c r="AG49" i="17"/>
  <c r="K72" i="17"/>
  <c r="M72" i="17" s="1"/>
  <c r="P80" i="17" s="1"/>
  <c r="E72" i="17"/>
  <c r="G72" i="17" s="1"/>
  <c r="U72" i="17"/>
  <c r="W72" i="17" s="1"/>
  <c r="R80" i="17" s="1"/>
  <c r="P72" i="17"/>
  <c r="R72" i="17" s="1"/>
  <c r="Q80" i="17" s="1"/>
  <c r="V45" i="17"/>
  <c r="AM31" i="17"/>
  <c r="AM32" i="17"/>
  <c r="AM40" i="17"/>
  <c r="AH48" i="17"/>
  <c r="R60" i="17"/>
  <c r="Y60" i="17" s="1"/>
  <c r="AH49" i="17"/>
  <c r="C30" i="11"/>
  <c r="D30" i="11"/>
  <c r="AK78" i="17" l="1"/>
  <c r="AM78" i="17"/>
  <c r="H30" i="11"/>
  <c r="B37" i="18"/>
  <c r="C36" i="18"/>
  <c r="F35" i="18"/>
  <c r="E35" i="18"/>
  <c r="D35" i="18"/>
  <c r="AE45" i="17"/>
  <c r="AK45" i="17"/>
  <c r="AJ45" i="17"/>
  <c r="E75" i="17"/>
  <c r="G75" i="17" s="1"/>
  <c r="O83" i="17" s="1"/>
  <c r="U75" i="17"/>
  <c r="W75" i="17" s="1"/>
  <c r="R83" i="17" s="1"/>
  <c r="P75" i="17"/>
  <c r="R75" i="17" s="1"/>
  <c r="Q83" i="17" s="1"/>
  <c r="K75" i="17"/>
  <c r="M75" i="17" s="1"/>
  <c r="P83" i="17" s="1"/>
  <c r="Y51" i="17"/>
  <c r="Z45" i="17"/>
  <c r="E54" i="15"/>
  <c r="F54" i="15" s="1"/>
  <c r="H32" i="15"/>
  <c r="G32" i="15"/>
  <c r="AL80" i="17" l="1"/>
  <c r="AL81" i="17" s="1"/>
  <c r="B38" i="18"/>
  <c r="C37" i="18"/>
  <c r="E36" i="18"/>
  <c r="D36" i="18"/>
  <c r="F36" i="18"/>
  <c r="AI45" i="17"/>
  <c r="AH45" i="17"/>
  <c r="AD45" i="17"/>
  <c r="AG51" i="17" s="1"/>
  <c r="AC51" i="17"/>
  <c r="H72" i="15"/>
  <c r="K62" i="15"/>
  <c r="L62" i="15"/>
  <c r="H73" i="15"/>
  <c r="I73" i="15"/>
  <c r="H63" i="15"/>
  <c r="I63" i="15"/>
  <c r="I62" i="15"/>
  <c r="H62" i="15"/>
  <c r="E68" i="15"/>
  <c r="I68" i="15" s="1"/>
  <c r="D68" i="15"/>
  <c r="H68" i="15" s="1"/>
  <c r="E67" i="15"/>
  <c r="D67" i="15"/>
  <c r="E64" i="15"/>
  <c r="D64" i="15"/>
  <c r="F63" i="15"/>
  <c r="F62" i="15"/>
  <c r="L63" i="15"/>
  <c r="K63" i="15"/>
  <c r="P96" i="6"/>
  <c r="P100" i="6"/>
  <c r="R100" i="6"/>
  <c r="R98" i="6"/>
  <c r="R99" i="6"/>
  <c r="R101" i="6"/>
  <c r="P99" i="6"/>
  <c r="P101" i="6"/>
  <c r="N99" i="6"/>
  <c r="N100" i="6"/>
  <c r="N101" i="6"/>
  <c r="O95" i="6"/>
  <c r="R96" i="6"/>
  <c r="N96" i="6"/>
  <c r="P98" i="6"/>
  <c r="L68" i="6"/>
  <c r="N98" i="6"/>
  <c r="O100" i="6" l="1"/>
  <c r="F67" i="15"/>
  <c r="O101" i="6"/>
  <c r="S100" i="6"/>
  <c r="Q100" i="6"/>
  <c r="Q101" i="6"/>
  <c r="B39" i="18"/>
  <c r="C38" i="18"/>
  <c r="D37" i="18"/>
  <c r="F37" i="18"/>
  <c r="E37" i="18"/>
  <c r="AH51" i="17"/>
  <c r="AL47" i="17"/>
  <c r="AL48" i="17" s="1"/>
  <c r="AR33" i="17"/>
  <c r="S96" i="6"/>
  <c r="Q96" i="6"/>
  <c r="S99" i="6"/>
  <c r="O99" i="6"/>
  <c r="Q99" i="6"/>
  <c r="D69" i="15"/>
  <c r="E69" i="15"/>
  <c r="F68" i="15"/>
  <c r="M61" i="15"/>
  <c r="I67" i="15"/>
  <c r="H67" i="15"/>
  <c r="F73" i="15"/>
  <c r="E74" i="15"/>
  <c r="I72" i="15"/>
  <c r="M62" i="15"/>
  <c r="M63" i="15"/>
  <c r="K64" i="15"/>
  <c r="L64" i="15"/>
  <c r="Q95" i="6"/>
  <c r="O96" i="6"/>
  <c r="S95" i="6"/>
  <c r="S101" i="6"/>
  <c r="F38" i="18" l="1"/>
  <c r="E38" i="18"/>
  <c r="D38" i="18"/>
  <c r="B40" i="18"/>
  <c r="C39" i="18"/>
  <c r="O67" i="15"/>
  <c r="K67" i="15" s="1"/>
  <c r="E53" i="15"/>
  <c r="H50" i="15"/>
  <c r="G50" i="15"/>
  <c r="E50" i="15"/>
  <c r="L46" i="15"/>
  <c r="K46" i="15"/>
  <c r="J46" i="15"/>
  <c r="I46" i="15"/>
  <c r="L45" i="15"/>
  <c r="K45" i="15"/>
  <c r="J45" i="15"/>
  <c r="I45" i="15"/>
  <c r="L44" i="15"/>
  <c r="K44" i="15"/>
  <c r="J44" i="15"/>
  <c r="I44" i="15"/>
  <c r="L43" i="15"/>
  <c r="K43" i="15"/>
  <c r="J43" i="15"/>
  <c r="I43" i="15"/>
  <c r="L42" i="15"/>
  <c r="K42" i="15"/>
  <c r="J42" i="15"/>
  <c r="I42" i="15"/>
  <c r="L41" i="15"/>
  <c r="K41" i="15"/>
  <c r="J41" i="15"/>
  <c r="I41" i="15"/>
  <c r="L40" i="15"/>
  <c r="K40" i="15"/>
  <c r="J40" i="15"/>
  <c r="I40" i="15"/>
  <c r="L39" i="15"/>
  <c r="K39" i="15"/>
  <c r="J39" i="15"/>
  <c r="I39" i="15"/>
  <c r="L38" i="15"/>
  <c r="K38" i="15"/>
  <c r="J38" i="15"/>
  <c r="I38" i="15"/>
  <c r="L37" i="15"/>
  <c r="K37" i="15"/>
  <c r="J37" i="15"/>
  <c r="I37" i="15"/>
  <c r="L36" i="15"/>
  <c r="K36" i="15"/>
  <c r="J36" i="15"/>
  <c r="I36" i="15"/>
  <c r="L35" i="15"/>
  <c r="K35" i="15"/>
  <c r="J35" i="15"/>
  <c r="I35" i="15"/>
  <c r="L34" i="15"/>
  <c r="K34" i="15"/>
  <c r="J34" i="15"/>
  <c r="I34" i="15"/>
  <c r="L33" i="15"/>
  <c r="K33" i="15"/>
  <c r="J33" i="15"/>
  <c r="I33" i="15"/>
  <c r="L32" i="15"/>
  <c r="K32" i="15"/>
  <c r="J32" i="15"/>
  <c r="I32" i="15"/>
  <c r="L31" i="15"/>
  <c r="K31" i="15"/>
  <c r="J31" i="15"/>
  <c r="I31" i="15"/>
  <c r="L30" i="15"/>
  <c r="K30" i="15"/>
  <c r="J30" i="15"/>
  <c r="I30" i="15"/>
  <c r="L29" i="15"/>
  <c r="K29" i="15"/>
  <c r="J29" i="15"/>
  <c r="I29" i="15"/>
  <c r="L28" i="15"/>
  <c r="K28" i="15"/>
  <c r="J28" i="15"/>
  <c r="I28" i="15"/>
  <c r="L27" i="15"/>
  <c r="K27" i="15"/>
  <c r="J27" i="15"/>
  <c r="I27" i="15"/>
  <c r="L26" i="15"/>
  <c r="K26" i="15"/>
  <c r="J26" i="15"/>
  <c r="I26" i="15"/>
  <c r="L25" i="15"/>
  <c r="K25" i="15"/>
  <c r="J25" i="15"/>
  <c r="I25" i="15"/>
  <c r="E7" i="15"/>
  <c r="X44" i="15" l="1"/>
  <c r="AB44" i="15" s="1"/>
  <c r="X25" i="15"/>
  <c r="AB25" i="15" s="1"/>
  <c r="V25" i="15"/>
  <c r="Z25" i="15" s="1"/>
  <c r="U25" i="15"/>
  <c r="Y25" i="15" s="1"/>
  <c r="B41" i="18"/>
  <c r="C40" i="18"/>
  <c r="F39" i="18"/>
  <c r="E39" i="18"/>
  <c r="D39" i="18"/>
  <c r="J78" i="15"/>
  <c r="J79" i="15"/>
  <c r="F53" i="15"/>
  <c r="L50" i="15"/>
  <c r="P25" i="15"/>
  <c r="T25" i="15" s="1"/>
  <c r="U28" i="15"/>
  <c r="Y28" i="15" s="1"/>
  <c r="P28" i="15"/>
  <c r="U31" i="15"/>
  <c r="Y31" i="15" s="1"/>
  <c r="P31" i="15"/>
  <c r="P34" i="15"/>
  <c r="U34" i="15"/>
  <c r="Y34" i="15" s="1"/>
  <c r="U36" i="15"/>
  <c r="Y36" i="15" s="1"/>
  <c r="P36" i="15"/>
  <c r="U39" i="15"/>
  <c r="Y39" i="15" s="1"/>
  <c r="P39" i="15"/>
  <c r="P42" i="15"/>
  <c r="U42" i="15"/>
  <c r="Y42" i="15" s="1"/>
  <c r="P46" i="15"/>
  <c r="U46" i="15"/>
  <c r="Y46" i="15" s="1"/>
  <c r="X26" i="15"/>
  <c r="AB26" i="15" s="1"/>
  <c r="V26" i="15"/>
  <c r="Z26" i="15" s="1"/>
  <c r="X29" i="15"/>
  <c r="AB29" i="15" s="1"/>
  <c r="V29" i="15"/>
  <c r="Z29" i="15" s="1"/>
  <c r="X31" i="15"/>
  <c r="AB31" i="15" s="1"/>
  <c r="V31" i="15"/>
  <c r="Z31" i="15" s="1"/>
  <c r="W25" i="15"/>
  <c r="AA25" i="15" s="1"/>
  <c r="N25" i="15"/>
  <c r="R25" i="15" s="1"/>
  <c r="W26" i="15"/>
  <c r="AA26" i="15" s="1"/>
  <c r="N26" i="15"/>
  <c r="W27" i="15"/>
  <c r="AA27" i="15" s="1"/>
  <c r="N27" i="15"/>
  <c r="W28" i="15"/>
  <c r="AA28" i="15" s="1"/>
  <c r="N28" i="15"/>
  <c r="W29" i="15"/>
  <c r="AA29" i="15" s="1"/>
  <c r="N29" i="15"/>
  <c r="W30" i="15"/>
  <c r="AA30" i="15" s="1"/>
  <c r="N30" i="15"/>
  <c r="W31" i="15"/>
  <c r="AA31" i="15" s="1"/>
  <c r="N31" i="15"/>
  <c r="W32" i="15"/>
  <c r="AA32" i="15" s="1"/>
  <c r="N32" i="15"/>
  <c r="W33" i="15"/>
  <c r="AA33" i="15" s="1"/>
  <c r="N33" i="15"/>
  <c r="W34" i="15"/>
  <c r="AA34" i="15" s="1"/>
  <c r="N34" i="15"/>
  <c r="W35" i="15"/>
  <c r="AA35" i="15" s="1"/>
  <c r="N35" i="15"/>
  <c r="W36" i="15"/>
  <c r="AA36" i="15" s="1"/>
  <c r="N36" i="15"/>
  <c r="W37" i="15"/>
  <c r="AA37" i="15" s="1"/>
  <c r="N37" i="15"/>
  <c r="W38" i="15"/>
  <c r="AA38" i="15" s="1"/>
  <c r="N38" i="15"/>
  <c r="W39" i="15"/>
  <c r="AA39" i="15" s="1"/>
  <c r="N39" i="15"/>
  <c r="W40" i="15"/>
  <c r="AA40" i="15" s="1"/>
  <c r="N40" i="15"/>
  <c r="W41" i="15"/>
  <c r="AA41" i="15" s="1"/>
  <c r="N41" i="15"/>
  <c r="W42" i="15"/>
  <c r="AA42" i="15" s="1"/>
  <c r="N42" i="15"/>
  <c r="W43" i="15"/>
  <c r="AA43" i="15" s="1"/>
  <c r="N43" i="15"/>
  <c r="W44" i="15"/>
  <c r="AA44" i="15" s="1"/>
  <c r="N44" i="15"/>
  <c r="W45" i="15"/>
  <c r="AA45" i="15" s="1"/>
  <c r="N45" i="15"/>
  <c r="W46" i="15"/>
  <c r="AA46" i="15" s="1"/>
  <c r="N46" i="15"/>
  <c r="U27" i="15"/>
  <c r="Y27" i="15" s="1"/>
  <c r="P27" i="15"/>
  <c r="P30" i="15"/>
  <c r="U30" i="15"/>
  <c r="Y30" i="15" s="1"/>
  <c r="U33" i="15"/>
  <c r="Y33" i="15" s="1"/>
  <c r="P33" i="15"/>
  <c r="U37" i="15"/>
  <c r="Y37" i="15" s="1"/>
  <c r="P37" i="15"/>
  <c r="U40" i="15"/>
  <c r="Y40" i="15" s="1"/>
  <c r="P40" i="15"/>
  <c r="P43" i="15"/>
  <c r="U43" i="15"/>
  <c r="Y43" i="15" s="1"/>
  <c r="P45" i="15"/>
  <c r="U45" i="15"/>
  <c r="Y45" i="15" s="1"/>
  <c r="X28" i="15"/>
  <c r="AB28" i="15" s="1"/>
  <c r="V28" i="15"/>
  <c r="Z28" i="15" s="1"/>
  <c r="X32" i="15"/>
  <c r="AB32" i="15" s="1"/>
  <c r="V32" i="15"/>
  <c r="Z32" i="15" s="1"/>
  <c r="X33" i="15"/>
  <c r="AB33" i="15" s="1"/>
  <c r="V33" i="15"/>
  <c r="Z33" i="15" s="1"/>
  <c r="X34" i="15"/>
  <c r="AB34" i="15" s="1"/>
  <c r="V34" i="15"/>
  <c r="Z34" i="15" s="1"/>
  <c r="X35" i="15"/>
  <c r="AB35" i="15" s="1"/>
  <c r="V35" i="15"/>
  <c r="Z35" i="15" s="1"/>
  <c r="X36" i="15"/>
  <c r="AB36" i="15" s="1"/>
  <c r="V36" i="15"/>
  <c r="Z36" i="15" s="1"/>
  <c r="X37" i="15"/>
  <c r="AB37" i="15" s="1"/>
  <c r="V37" i="15"/>
  <c r="Z37" i="15" s="1"/>
  <c r="X38" i="15"/>
  <c r="AB38" i="15" s="1"/>
  <c r="V38" i="15"/>
  <c r="Z38" i="15" s="1"/>
  <c r="X39" i="15"/>
  <c r="AB39" i="15" s="1"/>
  <c r="V39" i="15"/>
  <c r="Z39" i="15" s="1"/>
  <c r="X40" i="15"/>
  <c r="AB40" i="15" s="1"/>
  <c r="V40" i="15"/>
  <c r="Z40" i="15" s="1"/>
  <c r="X41" i="15"/>
  <c r="AB41" i="15" s="1"/>
  <c r="V41" i="15"/>
  <c r="Z41" i="15" s="1"/>
  <c r="X42" i="15"/>
  <c r="AB42" i="15" s="1"/>
  <c r="V42" i="15"/>
  <c r="Z42" i="15" s="1"/>
  <c r="X43" i="15"/>
  <c r="AB43" i="15" s="1"/>
  <c r="V43" i="15"/>
  <c r="Z43" i="15" s="1"/>
  <c r="V44" i="15"/>
  <c r="Z44" i="15" s="1"/>
  <c r="X45" i="15"/>
  <c r="AB45" i="15" s="1"/>
  <c r="V45" i="15"/>
  <c r="Z45" i="15" s="1"/>
  <c r="X46" i="15"/>
  <c r="AB46" i="15" s="1"/>
  <c r="V46" i="15"/>
  <c r="Z46" i="15" s="1"/>
  <c r="P26" i="15"/>
  <c r="U26" i="15"/>
  <c r="Y26" i="15" s="1"/>
  <c r="U29" i="15"/>
  <c r="Y29" i="15" s="1"/>
  <c r="P29" i="15"/>
  <c r="U32" i="15"/>
  <c r="Y32" i="15" s="1"/>
  <c r="P32" i="15"/>
  <c r="U35" i="15"/>
  <c r="Y35" i="15" s="1"/>
  <c r="P35" i="15"/>
  <c r="P38" i="15"/>
  <c r="U38" i="15"/>
  <c r="Y38" i="15" s="1"/>
  <c r="U41" i="15"/>
  <c r="Y41" i="15" s="1"/>
  <c r="P41" i="15"/>
  <c r="P44" i="15"/>
  <c r="U44" i="15"/>
  <c r="Y44" i="15" s="1"/>
  <c r="X27" i="15"/>
  <c r="AB27" i="15" s="1"/>
  <c r="V27" i="15"/>
  <c r="Z27" i="15" s="1"/>
  <c r="X30" i="15"/>
  <c r="AB30" i="15" s="1"/>
  <c r="V30" i="15"/>
  <c r="Z30" i="15" s="1"/>
  <c r="L67" i="15"/>
  <c r="M66" i="15" s="1"/>
  <c r="O68" i="15"/>
  <c r="K50" i="15"/>
  <c r="J48" i="15"/>
  <c r="K48" i="15"/>
  <c r="I48" i="15"/>
  <c r="L48" i="15"/>
  <c r="L47" i="15"/>
  <c r="J47" i="15"/>
  <c r="I47" i="15"/>
  <c r="K47" i="15"/>
  <c r="E15" i="14"/>
  <c r="K79" i="15" l="1"/>
  <c r="W48" i="15"/>
  <c r="E40" i="18"/>
  <c r="D40" i="18"/>
  <c r="F40" i="18"/>
  <c r="B42" i="18"/>
  <c r="C41" i="18"/>
  <c r="P50" i="15"/>
  <c r="AG25" i="15"/>
  <c r="AH26" i="15" s="1"/>
  <c r="AG35" i="15"/>
  <c r="AG27" i="15"/>
  <c r="AH27" i="15" s="1"/>
  <c r="AG41" i="15"/>
  <c r="AG33" i="15"/>
  <c r="AG40" i="15"/>
  <c r="AG32" i="15"/>
  <c r="AG34" i="15"/>
  <c r="AG28" i="15"/>
  <c r="AG39" i="15"/>
  <c r="AG31" i="15"/>
  <c r="AH32" i="15" s="1"/>
  <c r="AG36" i="15"/>
  <c r="AG38" i="15"/>
  <c r="AG30" i="15"/>
  <c r="AG37" i="15"/>
  <c r="AG29" i="15"/>
  <c r="AG47" i="15"/>
  <c r="AG48" i="15"/>
  <c r="AG45" i="15"/>
  <c r="AG43" i="15"/>
  <c r="AG46" i="15"/>
  <c r="AG49" i="15"/>
  <c r="AH49" i="15" s="1"/>
  <c r="AG44" i="15"/>
  <c r="AG42" i="15"/>
  <c r="X50" i="15"/>
  <c r="AB50" i="15" s="1"/>
  <c r="J50" i="15"/>
  <c r="I50" i="15"/>
  <c r="L55" i="15" s="1"/>
  <c r="L68" i="15"/>
  <c r="K68" i="15"/>
  <c r="K69" i="15" s="1"/>
  <c r="M68" i="15"/>
  <c r="L53" i="15"/>
  <c r="T43" i="15"/>
  <c r="O43" i="15"/>
  <c r="S43" i="15" s="1"/>
  <c r="M46" i="15"/>
  <c r="Q46" i="15" s="1"/>
  <c r="R46" i="15"/>
  <c r="M26" i="15"/>
  <c r="Q26" i="15" s="1"/>
  <c r="R26" i="15"/>
  <c r="P48" i="15"/>
  <c r="U48" i="15"/>
  <c r="Y48" i="15" s="1"/>
  <c r="P47" i="15"/>
  <c r="U47" i="15"/>
  <c r="Y47" i="15" s="1"/>
  <c r="AA48" i="15"/>
  <c r="N48" i="15"/>
  <c r="T38" i="15"/>
  <c r="O38" i="15"/>
  <c r="S38" i="15" s="1"/>
  <c r="X48" i="15"/>
  <c r="AB48" i="15" s="1"/>
  <c r="V48" i="15"/>
  <c r="Z48" i="15" s="1"/>
  <c r="T41" i="15"/>
  <c r="O41" i="15"/>
  <c r="S41" i="15" s="1"/>
  <c r="T35" i="15"/>
  <c r="O35" i="15"/>
  <c r="S35" i="15" s="1"/>
  <c r="T29" i="15"/>
  <c r="O29" i="15"/>
  <c r="S29" i="15" s="1"/>
  <c r="T37" i="15"/>
  <c r="O37" i="15"/>
  <c r="S37" i="15" s="1"/>
  <c r="R45" i="15"/>
  <c r="M45" i="15"/>
  <c r="Q45" i="15" s="1"/>
  <c r="M42" i="15"/>
  <c r="Q42" i="15" s="1"/>
  <c r="R42" i="15"/>
  <c r="M39" i="15"/>
  <c r="Q39" i="15" s="1"/>
  <c r="R39" i="15"/>
  <c r="R37" i="15"/>
  <c r="M37" i="15"/>
  <c r="Q37" i="15" s="1"/>
  <c r="M35" i="15"/>
  <c r="Q35" i="15" s="1"/>
  <c r="R35" i="15"/>
  <c r="R33" i="15"/>
  <c r="M33" i="15"/>
  <c r="Q33" i="15" s="1"/>
  <c r="M31" i="15"/>
  <c r="Q31" i="15" s="1"/>
  <c r="R31" i="15"/>
  <c r="R29" i="15"/>
  <c r="M29" i="15"/>
  <c r="Q29" i="15" s="1"/>
  <c r="M25" i="15"/>
  <c r="Q25" i="15" s="1"/>
  <c r="T36" i="15"/>
  <c r="O36" i="15"/>
  <c r="S36" i="15" s="1"/>
  <c r="T31" i="15"/>
  <c r="O31" i="15"/>
  <c r="S31" i="15" s="1"/>
  <c r="T30" i="15"/>
  <c r="O30" i="15"/>
  <c r="S30" i="15" s="1"/>
  <c r="T42" i="15"/>
  <c r="O42" i="15"/>
  <c r="S42" i="15" s="1"/>
  <c r="T32" i="15"/>
  <c r="O32" i="15"/>
  <c r="S32" i="15" s="1"/>
  <c r="T40" i="15"/>
  <c r="O40" i="15"/>
  <c r="S40" i="15" s="1"/>
  <c r="T33" i="15"/>
  <c r="O33" i="15"/>
  <c r="S33" i="15" s="1"/>
  <c r="T27" i="15"/>
  <c r="O27" i="15"/>
  <c r="S27" i="15" s="1"/>
  <c r="R44" i="15"/>
  <c r="M44" i="15"/>
  <c r="Q44" i="15" s="1"/>
  <c r="R40" i="15"/>
  <c r="M40" i="15"/>
  <c r="Q40" i="15" s="1"/>
  <c r="M38" i="15"/>
  <c r="Q38" i="15" s="1"/>
  <c r="R38" i="15"/>
  <c r="R36" i="15"/>
  <c r="M36" i="15"/>
  <c r="Q36" i="15" s="1"/>
  <c r="M34" i="15"/>
  <c r="Q34" i="15" s="1"/>
  <c r="R34" i="15"/>
  <c r="R32" i="15"/>
  <c r="M32" i="15"/>
  <c r="Q32" i="15" s="1"/>
  <c r="M30" i="15"/>
  <c r="Q30" i="15" s="1"/>
  <c r="R30" i="15"/>
  <c r="M27" i="15"/>
  <c r="Q27" i="15" s="1"/>
  <c r="R27" i="15"/>
  <c r="T39" i="15"/>
  <c r="O39" i="15"/>
  <c r="S39" i="15" s="1"/>
  <c r="T28" i="15"/>
  <c r="O28" i="15"/>
  <c r="S28" i="15" s="1"/>
  <c r="O25" i="15"/>
  <c r="S25" i="15" s="1"/>
  <c r="W47" i="15"/>
  <c r="AA47" i="15" s="1"/>
  <c r="N47" i="15"/>
  <c r="R43" i="15"/>
  <c r="M43" i="15"/>
  <c r="Q43" i="15" s="1"/>
  <c r="X47" i="15"/>
  <c r="AB47" i="15" s="1"/>
  <c r="V47" i="15"/>
  <c r="Z47" i="15" s="1"/>
  <c r="T44" i="15"/>
  <c r="O44" i="15"/>
  <c r="S44" i="15" s="1"/>
  <c r="T26" i="15"/>
  <c r="O26" i="15"/>
  <c r="S26" i="15" s="1"/>
  <c r="T45" i="15"/>
  <c r="O45" i="15"/>
  <c r="S45" i="15" s="1"/>
  <c r="R41" i="15"/>
  <c r="M41" i="15"/>
  <c r="Q41" i="15" s="1"/>
  <c r="R28" i="15"/>
  <c r="M28" i="15"/>
  <c r="Q28" i="15" s="1"/>
  <c r="T46" i="15"/>
  <c r="O46" i="15"/>
  <c r="S46" i="15" s="1"/>
  <c r="T34" i="15"/>
  <c r="O34" i="15"/>
  <c r="S34" i="15" s="1"/>
  <c r="S29" i="14"/>
  <c r="W29" i="14" s="1"/>
  <c r="T36" i="14"/>
  <c r="X36" i="14" s="1"/>
  <c r="T33" i="14"/>
  <c r="X33" i="14" s="1"/>
  <c r="T29" i="14"/>
  <c r="X29" i="14" s="1"/>
  <c r="T34" i="14"/>
  <c r="X34" i="14" s="1"/>
  <c r="T31" i="14"/>
  <c r="X31" i="14" s="1"/>
  <c r="T35" i="14"/>
  <c r="X35" i="14" s="1"/>
  <c r="T32" i="14"/>
  <c r="X32" i="14" s="1"/>
  <c r="T30" i="14"/>
  <c r="S30" i="14"/>
  <c r="W30" i="14" s="1"/>
  <c r="S33" i="14"/>
  <c r="S32" i="14"/>
  <c r="W32" i="14" s="1"/>
  <c r="S34" i="14"/>
  <c r="T37" i="14"/>
  <c r="X37" i="14" s="1"/>
  <c r="S36" i="14"/>
  <c r="S37" i="14"/>
  <c r="W37" i="14" s="1"/>
  <c r="S31" i="14"/>
  <c r="W31" i="14" s="1"/>
  <c r="S35" i="14"/>
  <c r="E42" i="14"/>
  <c r="N67" i="15"/>
  <c r="N66" i="15"/>
  <c r="K49" i="15"/>
  <c r="J49" i="15"/>
  <c r="F50" i="15"/>
  <c r="L49" i="15"/>
  <c r="I49" i="15"/>
  <c r="E20" i="15"/>
  <c r="AG51" i="15" l="1"/>
  <c r="AH29" i="15"/>
  <c r="W36" i="14"/>
  <c r="X44" i="14" s="1"/>
  <c r="T44" i="14"/>
  <c r="AE26" i="15"/>
  <c r="W34" i="14"/>
  <c r="X42" i="14" s="1"/>
  <c r="T42" i="14"/>
  <c r="W33" i="14"/>
  <c r="X41" i="14" s="1"/>
  <c r="T41" i="14"/>
  <c r="W35" i="14"/>
  <c r="X43" i="14" s="1"/>
  <c r="T43" i="14"/>
  <c r="AH40" i="15"/>
  <c r="AD26" i="15"/>
  <c r="AC26" i="15"/>
  <c r="L54" i="15"/>
  <c r="AC25" i="15"/>
  <c r="AH39" i="15"/>
  <c r="AH47" i="15"/>
  <c r="AH34" i="15"/>
  <c r="AH38" i="15"/>
  <c r="AH30" i="15"/>
  <c r="AH36" i="15"/>
  <c r="AH37" i="15"/>
  <c r="AH44" i="15"/>
  <c r="AH35" i="15"/>
  <c r="AH28" i="15"/>
  <c r="AH48" i="15"/>
  <c r="AH33" i="15"/>
  <c r="AH43" i="15"/>
  <c r="AH41" i="15"/>
  <c r="AH45" i="15"/>
  <c r="D41" i="18"/>
  <c r="F41" i="18"/>
  <c r="E41" i="18"/>
  <c r="B43" i="18"/>
  <c r="C42" i="18"/>
  <c r="W50" i="15"/>
  <c r="AA50" i="15" s="1"/>
  <c r="N50" i="15"/>
  <c r="V50" i="15"/>
  <c r="Z50" i="15" s="1"/>
  <c r="AH42" i="15"/>
  <c r="AH31" i="15"/>
  <c r="T50" i="15"/>
  <c r="O50" i="15"/>
  <c r="S50" i="15" s="1"/>
  <c r="AH46" i="15"/>
  <c r="U50" i="15"/>
  <c r="Y50" i="15" s="1"/>
  <c r="AG50" i="15"/>
  <c r="AG52" i="15" s="1"/>
  <c r="AD40" i="15"/>
  <c r="AC40" i="15"/>
  <c r="W49" i="15"/>
  <c r="AA49" i="15" s="1"/>
  <c r="N49" i="15"/>
  <c r="AF41" i="15"/>
  <c r="AE41" i="15"/>
  <c r="P49" i="15"/>
  <c r="U49" i="15"/>
  <c r="Y49" i="15" s="1"/>
  <c r="AD28" i="15"/>
  <c r="AC28" i="15"/>
  <c r="AD43" i="15"/>
  <c r="AC43" i="15"/>
  <c r="AF30" i="15"/>
  <c r="AE30" i="15"/>
  <c r="AF34" i="15"/>
  <c r="AE34" i="15"/>
  <c r="AF38" i="15"/>
  <c r="AE38" i="15"/>
  <c r="AD44" i="15"/>
  <c r="AC44" i="15"/>
  <c r="AD29" i="15"/>
  <c r="AC29" i="15"/>
  <c r="AD33" i="15"/>
  <c r="AC33" i="15"/>
  <c r="AD37" i="15"/>
  <c r="AC37" i="15"/>
  <c r="AF42" i="15"/>
  <c r="AE42" i="15"/>
  <c r="R48" i="15"/>
  <c r="M48" i="15"/>
  <c r="AF46" i="15"/>
  <c r="AE46" i="15"/>
  <c r="X49" i="15"/>
  <c r="AB49" i="15" s="1"/>
  <c r="V49" i="15"/>
  <c r="Z49" i="15" s="1"/>
  <c r="AF28" i="15"/>
  <c r="AE28" i="15"/>
  <c r="AF43" i="15"/>
  <c r="AE43" i="15"/>
  <c r="AD30" i="15"/>
  <c r="AC30" i="15"/>
  <c r="AD34" i="15"/>
  <c r="AC34" i="15"/>
  <c r="AD38" i="15"/>
  <c r="AC38" i="15"/>
  <c r="AF44" i="15"/>
  <c r="AE44" i="15"/>
  <c r="AF29" i="15"/>
  <c r="AE29" i="15"/>
  <c r="AF33" i="15"/>
  <c r="AE33" i="15"/>
  <c r="AF37" i="15"/>
  <c r="AE37" i="15"/>
  <c r="AD42" i="15"/>
  <c r="AC42" i="15"/>
  <c r="T48" i="15"/>
  <c r="O48" i="15"/>
  <c r="S48" i="15" s="1"/>
  <c r="AD46" i="15"/>
  <c r="AC46" i="15"/>
  <c r="AD32" i="15"/>
  <c r="AC32" i="15"/>
  <c r="AD36" i="15"/>
  <c r="AC36" i="15"/>
  <c r="AD25" i="15"/>
  <c r="AF31" i="15"/>
  <c r="AE31" i="15"/>
  <c r="AF35" i="15"/>
  <c r="AE35" i="15"/>
  <c r="AF39" i="15"/>
  <c r="AE39" i="15"/>
  <c r="AD45" i="15"/>
  <c r="AC45" i="15"/>
  <c r="AF26" i="15"/>
  <c r="AD41" i="15"/>
  <c r="AC41" i="15"/>
  <c r="R47" i="15"/>
  <c r="M47" i="15"/>
  <c r="Q47" i="15" s="1"/>
  <c r="AF27" i="15"/>
  <c r="AE27" i="15"/>
  <c r="AD27" i="15"/>
  <c r="AC27" i="15"/>
  <c r="AF32" i="15"/>
  <c r="AE32" i="15"/>
  <c r="AF36" i="15"/>
  <c r="AE36" i="15"/>
  <c r="AF40" i="15"/>
  <c r="AE40" i="15"/>
  <c r="AF25" i="15"/>
  <c r="AE25" i="15"/>
  <c r="AD31" i="15"/>
  <c r="AC31" i="15"/>
  <c r="AD35" i="15"/>
  <c r="AC35" i="15"/>
  <c r="AD39" i="15"/>
  <c r="AC39" i="15"/>
  <c r="AF45" i="15"/>
  <c r="AE45" i="15"/>
  <c r="T47" i="15"/>
  <c r="O47" i="15"/>
  <c r="S47" i="15" s="1"/>
  <c r="X30" i="14"/>
  <c r="F42" i="14"/>
  <c r="N69" i="15"/>
  <c r="L69" i="15"/>
  <c r="N68" i="15"/>
  <c r="AH25" i="15"/>
  <c r="G51" i="12"/>
  <c r="H51" i="12"/>
  <c r="F51" i="12"/>
  <c r="E54" i="12"/>
  <c r="K51" i="12" s="1"/>
  <c r="E33" i="6"/>
  <c r="G75" i="6"/>
  <c r="F75" i="6"/>
  <c r="E75" i="6"/>
  <c r="U51" i="12" l="1"/>
  <c r="F42" i="18"/>
  <c r="E42" i="18"/>
  <c r="D42" i="18"/>
  <c r="B44" i="18"/>
  <c r="C43" i="18"/>
  <c r="F54" i="12"/>
  <c r="K53" i="12"/>
  <c r="L53" i="12"/>
  <c r="L51" i="12"/>
  <c r="N51" i="12" s="1"/>
  <c r="M50" i="15"/>
  <c r="R50" i="15"/>
  <c r="Q48" i="15"/>
  <c r="T53" i="15" s="1"/>
  <c r="P53" i="15"/>
  <c r="AD47" i="15"/>
  <c r="AC47" i="15"/>
  <c r="AF47" i="15"/>
  <c r="AE47" i="15"/>
  <c r="T49" i="15"/>
  <c r="O49" i="15"/>
  <c r="S49" i="15" s="1"/>
  <c r="R49" i="15"/>
  <c r="M49" i="15"/>
  <c r="AD48" i="15"/>
  <c r="AC48" i="15"/>
  <c r="AF48" i="15"/>
  <c r="AE48" i="15"/>
  <c r="E7" i="14"/>
  <c r="E23" i="14" s="1"/>
  <c r="E9" i="12"/>
  <c r="D18" i="10"/>
  <c r="I28" i="10"/>
  <c r="D18" i="6"/>
  <c r="K61" i="12" l="1"/>
  <c r="K62" i="12"/>
  <c r="K63" i="12"/>
  <c r="K64" i="12"/>
  <c r="K65" i="12"/>
  <c r="K66" i="12"/>
  <c r="K67" i="12"/>
  <c r="K68" i="12"/>
  <c r="K69" i="12"/>
  <c r="K70" i="12"/>
  <c r="K71" i="12"/>
  <c r="K72" i="12"/>
  <c r="K73" i="12"/>
  <c r="K74" i="12"/>
  <c r="K75" i="12"/>
  <c r="K76" i="12"/>
  <c r="K77" i="12"/>
  <c r="K78" i="12"/>
  <c r="K79" i="12"/>
  <c r="K80" i="12"/>
  <c r="K81" i="12"/>
  <c r="K82" i="12"/>
  <c r="K84" i="12"/>
  <c r="K83" i="12"/>
  <c r="AC53" i="15"/>
  <c r="E24" i="14"/>
  <c r="AC29" i="14"/>
  <c r="AD29" i="14" s="1"/>
  <c r="AC38" i="14"/>
  <c r="F43" i="18"/>
  <c r="E43" i="18"/>
  <c r="D43" i="18"/>
  <c r="B45" i="18"/>
  <c r="C44" i="18"/>
  <c r="Q50" i="15"/>
  <c r="P55" i="15"/>
  <c r="Q49" i="15"/>
  <c r="T54" i="15" s="1"/>
  <c r="P54" i="15"/>
  <c r="J53" i="12"/>
  <c r="I53" i="12"/>
  <c r="I51" i="12"/>
  <c r="U52" i="12" s="1"/>
  <c r="J51" i="12"/>
  <c r="P51" i="12" s="1"/>
  <c r="AF50" i="15"/>
  <c r="AE50" i="15"/>
  <c r="AF49" i="15"/>
  <c r="AE49" i="15"/>
  <c r="Q34" i="14"/>
  <c r="R35" i="14"/>
  <c r="R31" i="14"/>
  <c r="Q29" i="14"/>
  <c r="Y29" i="14" s="1"/>
  <c r="R34" i="14"/>
  <c r="R33" i="14"/>
  <c r="Q32" i="14"/>
  <c r="R29" i="14"/>
  <c r="R36" i="14"/>
  <c r="Q33" i="14"/>
  <c r="R32" i="14"/>
  <c r="Q31" i="14"/>
  <c r="Q35" i="14"/>
  <c r="R37" i="14"/>
  <c r="Q37" i="14"/>
  <c r="R30" i="14"/>
  <c r="Q36" i="14"/>
  <c r="R44" i="14" s="1"/>
  <c r="Q30" i="14"/>
  <c r="Y31" i="12"/>
  <c r="Y33" i="12"/>
  <c r="E25" i="12"/>
  <c r="X25" i="12" s="1"/>
  <c r="F25" i="12"/>
  <c r="G25" i="12"/>
  <c r="H25" i="12"/>
  <c r="Y25" i="12" s="1"/>
  <c r="I25" i="12"/>
  <c r="J25" i="12"/>
  <c r="K25" i="12"/>
  <c r="L25" i="12"/>
  <c r="I26" i="12"/>
  <c r="J26" i="12"/>
  <c r="K26" i="12"/>
  <c r="L26" i="12"/>
  <c r="I27" i="12"/>
  <c r="J27" i="12"/>
  <c r="K27" i="12"/>
  <c r="L27" i="12"/>
  <c r="X27" i="12"/>
  <c r="Y27" i="12"/>
  <c r="I28" i="12"/>
  <c r="J28" i="12"/>
  <c r="K28" i="12"/>
  <c r="L28" i="12"/>
  <c r="X28" i="12"/>
  <c r="Y28" i="12"/>
  <c r="Y29" i="12"/>
  <c r="Y30" i="12"/>
  <c r="R43" i="14" l="1"/>
  <c r="O27" i="12"/>
  <c r="Q27" i="12" s="1"/>
  <c r="S27" i="12" s="1"/>
  <c r="M27" i="12"/>
  <c r="V61" i="12" s="1"/>
  <c r="N26" i="12"/>
  <c r="L60" i="12" s="1"/>
  <c r="M60" i="12" s="1"/>
  <c r="P26" i="12"/>
  <c r="R26" i="12" s="1"/>
  <c r="M26" i="12"/>
  <c r="V60" i="12" s="1"/>
  <c r="O26" i="12"/>
  <c r="Q26" i="12" s="1"/>
  <c r="S26" i="12" s="1"/>
  <c r="N27" i="12"/>
  <c r="L61" i="12" s="1"/>
  <c r="M61" i="12" s="1"/>
  <c r="M51" i="12"/>
  <c r="O51" i="12"/>
  <c r="P27" i="12"/>
  <c r="R27" i="12" s="1"/>
  <c r="P28" i="12"/>
  <c r="R28" i="12" s="1"/>
  <c r="M28" i="12"/>
  <c r="V62" i="12" s="1"/>
  <c r="O28" i="12"/>
  <c r="N28" i="12"/>
  <c r="L62" i="12" s="1"/>
  <c r="M62" i="12" s="1"/>
  <c r="AH27" i="12"/>
  <c r="AF27" i="12"/>
  <c r="F61" i="12"/>
  <c r="H61" i="12" s="1"/>
  <c r="AE27" i="12"/>
  <c r="AG27" i="12"/>
  <c r="AH26" i="12"/>
  <c r="F60" i="12"/>
  <c r="H60" i="12" s="1"/>
  <c r="AF26" i="12"/>
  <c r="AG26" i="12"/>
  <c r="AE26" i="12"/>
  <c r="F62" i="12"/>
  <c r="H62" i="12" s="1"/>
  <c r="AF28" i="12"/>
  <c r="AE28" i="12"/>
  <c r="AG28" i="12"/>
  <c r="AH28" i="12"/>
  <c r="AC49" i="15"/>
  <c r="R41" i="14"/>
  <c r="R42" i="14"/>
  <c r="V26" i="12"/>
  <c r="E44" i="18"/>
  <c r="D44" i="18"/>
  <c r="F44" i="18"/>
  <c r="B46" i="18"/>
  <c r="C45" i="18"/>
  <c r="AD49" i="15"/>
  <c r="T55" i="15"/>
  <c r="AC50" i="15"/>
  <c r="AD50" i="15"/>
  <c r="Z36" i="14"/>
  <c r="Y36" i="14"/>
  <c r="U36" i="14"/>
  <c r="Z35" i="14"/>
  <c r="Y35" i="14"/>
  <c r="U35" i="14"/>
  <c r="V36" i="14"/>
  <c r="AB36" i="14"/>
  <c r="AA36" i="14"/>
  <c r="V34" i="14"/>
  <c r="AB34" i="14"/>
  <c r="AA34" i="14"/>
  <c r="Z34" i="14"/>
  <c r="Y34" i="14"/>
  <c r="U34" i="14"/>
  <c r="V30" i="14"/>
  <c r="AA30" i="14"/>
  <c r="AB30" i="14"/>
  <c r="Z31" i="14"/>
  <c r="Y31" i="14"/>
  <c r="U31" i="14"/>
  <c r="V29" i="14"/>
  <c r="E41" i="14" s="1"/>
  <c r="F41" i="14" s="1"/>
  <c r="AB29" i="14"/>
  <c r="AA29" i="14"/>
  <c r="Z29" i="14"/>
  <c r="U29" i="14"/>
  <c r="AC34" i="14"/>
  <c r="AC30" i="14"/>
  <c r="AC35" i="14"/>
  <c r="AC36" i="14"/>
  <c r="AC32" i="14"/>
  <c r="AC37" i="14"/>
  <c r="AC33" i="14"/>
  <c r="AC31" i="14"/>
  <c r="Y37" i="14"/>
  <c r="Z37" i="14"/>
  <c r="U37" i="14"/>
  <c r="V32" i="14"/>
  <c r="AB32" i="14"/>
  <c r="AA32" i="14"/>
  <c r="Z32" i="14"/>
  <c r="Y32" i="14"/>
  <c r="U32" i="14"/>
  <c r="V31" i="14"/>
  <c r="AB31" i="14"/>
  <c r="AA31" i="14"/>
  <c r="U30" i="14"/>
  <c r="Y30" i="14"/>
  <c r="Z30" i="14"/>
  <c r="AA37" i="14"/>
  <c r="V37" i="14"/>
  <c r="AB37" i="14"/>
  <c r="Z33" i="14"/>
  <c r="Y33" i="14"/>
  <c r="U33" i="14"/>
  <c r="V33" i="14"/>
  <c r="AB33" i="14"/>
  <c r="AA33" i="14"/>
  <c r="V35" i="14"/>
  <c r="AB35" i="14"/>
  <c r="AA35" i="14"/>
  <c r="X49" i="12"/>
  <c r="J29" i="12"/>
  <c r="K29" i="12"/>
  <c r="I29" i="12"/>
  <c r="X29" i="12"/>
  <c r="L29" i="12"/>
  <c r="Y32" i="12"/>
  <c r="X50" i="12"/>
  <c r="Q28" i="12" l="1"/>
  <c r="O62" i="12" s="1"/>
  <c r="Q62" i="12" s="1"/>
  <c r="P55" i="12"/>
  <c r="W60" i="12"/>
  <c r="AC54" i="15"/>
  <c r="AN33" i="14"/>
  <c r="AN35" i="14" s="1"/>
  <c r="V43" i="14"/>
  <c r="W61" i="12"/>
  <c r="O60" i="12"/>
  <c r="Q60" i="12" s="1"/>
  <c r="V42" i="14"/>
  <c r="W62" i="12"/>
  <c r="O61" i="12"/>
  <c r="Q61" i="12" s="1"/>
  <c r="T27" i="12"/>
  <c r="T26" i="12"/>
  <c r="T28" i="12"/>
  <c r="P29" i="12"/>
  <c r="R29" i="12" s="1"/>
  <c r="O29" i="12"/>
  <c r="Q29" i="12" s="1"/>
  <c r="S29" i="12" s="1"/>
  <c r="M29" i="12"/>
  <c r="V63" i="12" s="1"/>
  <c r="N29" i="12"/>
  <c r="L63" i="12" s="1"/>
  <c r="M63" i="12" s="1"/>
  <c r="AH29" i="12"/>
  <c r="F63" i="12"/>
  <c r="H63" i="12" s="1"/>
  <c r="AF29" i="12"/>
  <c r="AE29" i="12"/>
  <c r="AG29" i="12"/>
  <c r="V41" i="14"/>
  <c r="Y41" i="14"/>
  <c r="Y43" i="14"/>
  <c r="V44" i="14"/>
  <c r="Y42" i="14"/>
  <c r="AD31" i="14"/>
  <c r="AH31" i="14" s="1"/>
  <c r="AD34" i="14"/>
  <c r="K38" i="14"/>
  <c r="D45" i="18"/>
  <c r="F45" i="18"/>
  <c r="E45" i="18"/>
  <c r="B47" i="18"/>
  <c r="C46" i="18"/>
  <c r="AC55" i="15"/>
  <c r="AG53" i="15"/>
  <c r="L38" i="14"/>
  <c r="AD33" i="14"/>
  <c r="AH33" i="14" s="1"/>
  <c r="AD37" i="14"/>
  <c r="AD36" i="14"/>
  <c r="L41" i="14"/>
  <c r="K41" i="14"/>
  <c r="AD32" i="14"/>
  <c r="AD30" i="14"/>
  <c r="AN32" i="14" s="1"/>
  <c r="AN34" i="14" s="1"/>
  <c r="AD35" i="14"/>
  <c r="AJ31" i="14"/>
  <c r="I41" i="14"/>
  <c r="J41" i="14"/>
  <c r="I38" i="14"/>
  <c r="J38" i="14"/>
  <c r="J34" i="12"/>
  <c r="X34" i="12"/>
  <c r="V29" i="12"/>
  <c r="Z29" i="12" s="1"/>
  <c r="Y34" i="12"/>
  <c r="V28" i="12"/>
  <c r="Z28" i="12" s="1"/>
  <c r="V27" i="12"/>
  <c r="Z27" i="12" s="1"/>
  <c r="S28" i="12" l="1"/>
  <c r="AK31" i="14"/>
  <c r="W63" i="12"/>
  <c r="O63" i="12"/>
  <c r="Q63" i="12" s="1"/>
  <c r="T29" i="12"/>
  <c r="AC28" i="12"/>
  <c r="AB28" i="12"/>
  <c r="N38" i="14"/>
  <c r="R38" i="14" s="1"/>
  <c r="AN30" i="14" s="1"/>
  <c r="F46" i="18"/>
  <c r="E46" i="18"/>
  <c r="D46" i="18"/>
  <c r="B48" i="18"/>
  <c r="C47" i="18"/>
  <c r="AL31" i="14"/>
  <c r="P38" i="14"/>
  <c r="T38" i="14" s="1"/>
  <c r="X38" i="14" s="1"/>
  <c r="AJ34" i="14"/>
  <c r="AH34" i="14"/>
  <c r="AK34" i="14"/>
  <c r="AK30" i="14"/>
  <c r="AH30" i="14"/>
  <c r="AJ30" i="14"/>
  <c r="AK35" i="14"/>
  <c r="AH35" i="14"/>
  <c r="AJ35" i="14"/>
  <c r="AK32" i="14"/>
  <c r="AH32" i="14"/>
  <c r="AJ32" i="14"/>
  <c r="AH36" i="14"/>
  <c r="AJ36" i="14"/>
  <c r="AK36" i="14"/>
  <c r="AJ37" i="14"/>
  <c r="AH37" i="14"/>
  <c r="AK37" i="14"/>
  <c r="O38" i="14"/>
  <c r="S38" i="14" s="1"/>
  <c r="W38" i="14" s="1"/>
  <c r="V38" i="14"/>
  <c r="M38" i="14"/>
  <c r="X30" i="12"/>
  <c r="K30" i="12"/>
  <c r="J30" i="12"/>
  <c r="I30" i="12"/>
  <c r="V30" i="12"/>
  <c r="Z30" i="12" s="1"/>
  <c r="AC30" i="12" s="1"/>
  <c r="L30" i="12"/>
  <c r="AC29" i="12"/>
  <c r="AB29" i="12"/>
  <c r="I34" i="12"/>
  <c r="L34" i="12"/>
  <c r="K34" i="12"/>
  <c r="K35" i="12"/>
  <c r="X35" i="12"/>
  <c r="J35" i="12"/>
  <c r="I35" i="12"/>
  <c r="L35" i="12"/>
  <c r="Y35" i="12"/>
  <c r="AB27" i="12"/>
  <c r="AC27" i="12"/>
  <c r="P35" i="12" l="1"/>
  <c r="R35" i="12" s="1"/>
  <c r="O30" i="12"/>
  <c r="Q30" i="12" s="1"/>
  <c r="S30" i="12" s="1"/>
  <c r="M30" i="12"/>
  <c r="V64" i="12" s="1"/>
  <c r="N30" i="12"/>
  <c r="L64" i="12" s="1"/>
  <c r="M64" i="12" s="1"/>
  <c r="M34" i="12"/>
  <c r="V68" i="12" s="1"/>
  <c r="O34" i="12"/>
  <c r="Q34" i="12" s="1"/>
  <c r="S34" i="12" s="1"/>
  <c r="P34" i="12"/>
  <c r="R34" i="12" s="1"/>
  <c r="P30" i="12"/>
  <c r="R30" i="12" s="1"/>
  <c r="N35" i="12"/>
  <c r="L69" i="12" s="1"/>
  <c r="M69" i="12" s="1"/>
  <c r="N34" i="12"/>
  <c r="L68" i="12" s="1"/>
  <c r="M68" i="12" s="1"/>
  <c r="O35" i="12"/>
  <c r="Q35" i="12" s="1"/>
  <c r="S35" i="12" s="1"/>
  <c r="M35" i="12"/>
  <c r="V69" i="12" s="1"/>
  <c r="AD28" i="12"/>
  <c r="AF34" i="12"/>
  <c r="AE30" i="12"/>
  <c r="AG30" i="12"/>
  <c r="F69" i="12"/>
  <c r="H69" i="12" s="1"/>
  <c r="AH34" i="12"/>
  <c r="AF30" i="12"/>
  <c r="F64" i="12"/>
  <c r="H64" i="12" s="1"/>
  <c r="AH30" i="12"/>
  <c r="F68" i="12"/>
  <c r="H68" i="12" s="1"/>
  <c r="AE35" i="12"/>
  <c r="AG35" i="12"/>
  <c r="AF35" i="12"/>
  <c r="AH35" i="12"/>
  <c r="AE34" i="12"/>
  <c r="AG34" i="12"/>
  <c r="AB38" i="14"/>
  <c r="F47" i="18"/>
  <c r="E47" i="18"/>
  <c r="D47" i="18"/>
  <c r="B49" i="18"/>
  <c r="C48" i="18"/>
  <c r="AL35" i="14"/>
  <c r="AL36" i="14"/>
  <c r="AL30" i="14"/>
  <c r="AL34" i="14"/>
  <c r="AL37" i="14"/>
  <c r="AL32" i="14"/>
  <c r="AA38" i="14"/>
  <c r="Q38" i="14"/>
  <c r="Y38" i="14" s="1"/>
  <c r="AB30" i="12"/>
  <c r="AD30" i="12" s="1"/>
  <c r="AD29" i="12"/>
  <c r="V35" i="12"/>
  <c r="Z35" i="12" s="1"/>
  <c r="AB35" i="12" s="1"/>
  <c r="X36" i="12"/>
  <c r="V36" i="12"/>
  <c r="Z36" i="12" s="1"/>
  <c r="Y36" i="12"/>
  <c r="L36" i="12"/>
  <c r="J36" i="12"/>
  <c r="I36" i="12"/>
  <c r="K36" i="12"/>
  <c r="Y49" i="12"/>
  <c r="AD27" i="12"/>
  <c r="W64" i="12" l="1"/>
  <c r="W68" i="12"/>
  <c r="W69" i="12"/>
  <c r="O64" i="12"/>
  <c r="Q64" i="12" s="1"/>
  <c r="P36" i="12"/>
  <c r="R36" i="12" s="1"/>
  <c r="T30" i="12"/>
  <c r="N36" i="12"/>
  <c r="L70" i="12" s="1"/>
  <c r="M70" i="12" s="1"/>
  <c r="T34" i="12"/>
  <c r="O68" i="12"/>
  <c r="Q68" i="12" s="1"/>
  <c r="O69" i="12"/>
  <c r="Q69" i="12" s="1"/>
  <c r="T35" i="12"/>
  <c r="M36" i="12"/>
  <c r="V70" i="12" s="1"/>
  <c r="O36" i="12"/>
  <c r="Q36" i="12" s="1"/>
  <c r="S36" i="12" s="1"/>
  <c r="F70" i="12"/>
  <c r="H70" i="12" s="1"/>
  <c r="AH36" i="12"/>
  <c r="AE36" i="12"/>
  <c r="AG36" i="12"/>
  <c r="AF36" i="12"/>
  <c r="AO32" i="14"/>
  <c r="AO33" i="14"/>
  <c r="B50" i="18"/>
  <c r="C49" i="18"/>
  <c r="E48" i="18"/>
  <c r="D48" i="18"/>
  <c r="F48" i="18"/>
  <c r="U38" i="14"/>
  <c r="Z38" i="14"/>
  <c r="Y44" i="14" s="1"/>
  <c r="X31" i="12"/>
  <c r="V31" i="12"/>
  <c r="Z31" i="12" s="1"/>
  <c r="AC31" i="12" s="1"/>
  <c r="L31" i="12"/>
  <c r="J31" i="12"/>
  <c r="K31" i="12"/>
  <c r="I31" i="12"/>
  <c r="AC35" i="12"/>
  <c r="AD35" i="12" s="1"/>
  <c r="AB36" i="12"/>
  <c r="X37" i="12"/>
  <c r="I37" i="12"/>
  <c r="AC36" i="12"/>
  <c r="K37" i="12"/>
  <c r="V37" i="12"/>
  <c r="Z37" i="12" s="1"/>
  <c r="L37" i="12"/>
  <c r="Y37" i="12"/>
  <c r="J37" i="12"/>
  <c r="Y50" i="12"/>
  <c r="D8" i="11"/>
  <c r="G28" i="10"/>
  <c r="W70" i="12" l="1"/>
  <c r="P31" i="12"/>
  <c r="R31" i="12" s="1"/>
  <c r="M31" i="12"/>
  <c r="V65" i="12" s="1"/>
  <c r="O31" i="12"/>
  <c r="Q31" i="12" s="1"/>
  <c r="S31" i="12" s="1"/>
  <c r="N31" i="12"/>
  <c r="L65" i="12" s="1"/>
  <c r="M65" i="12" s="1"/>
  <c r="O37" i="12"/>
  <c r="Q37" i="12" s="1"/>
  <c r="S37" i="12" s="1"/>
  <c r="M37" i="12"/>
  <c r="V71" i="12" s="1"/>
  <c r="N37" i="12"/>
  <c r="L71" i="12" s="1"/>
  <c r="M71" i="12" s="1"/>
  <c r="T36" i="12"/>
  <c r="O70" i="12"/>
  <c r="Q70" i="12" s="1"/>
  <c r="P37" i="12"/>
  <c r="R37" i="12" s="1"/>
  <c r="F71" i="12"/>
  <c r="H71" i="12" s="1"/>
  <c r="F65" i="12"/>
  <c r="H65" i="12" s="1"/>
  <c r="AF31" i="12"/>
  <c r="AE31" i="12"/>
  <c r="AG31" i="12"/>
  <c r="AH31" i="12"/>
  <c r="AH37" i="12"/>
  <c r="AF37" i="12"/>
  <c r="AE37" i="12"/>
  <c r="AG37" i="12"/>
  <c r="AC39" i="14"/>
  <c r="AC40" i="14" s="1"/>
  <c r="AC41" i="14" s="1"/>
  <c r="AP33" i="14"/>
  <c r="AO35" i="14"/>
  <c r="AP35" i="14" s="1"/>
  <c r="AP32" i="14"/>
  <c r="AO34" i="14"/>
  <c r="AP34" i="14" s="1"/>
  <c r="D49" i="18"/>
  <c r="F49" i="18"/>
  <c r="E49" i="18"/>
  <c r="B51" i="18"/>
  <c r="C51" i="18" s="1"/>
  <c r="C50" i="18"/>
  <c r="F34" i="11"/>
  <c r="AB31" i="12"/>
  <c r="AD31" i="12" s="1"/>
  <c r="J38" i="12"/>
  <c r="AD36" i="12"/>
  <c r="AB37" i="12"/>
  <c r="X38" i="12"/>
  <c r="Y38" i="12"/>
  <c r="AC37" i="12"/>
  <c r="L19" i="11"/>
  <c r="K19" i="11"/>
  <c r="K25" i="11"/>
  <c r="K28" i="6"/>
  <c r="K29" i="11"/>
  <c r="K28" i="11"/>
  <c r="K27" i="11"/>
  <c r="K26" i="11"/>
  <c r="K24" i="11"/>
  <c r="L23" i="11"/>
  <c r="K23" i="11"/>
  <c r="F23" i="11"/>
  <c r="G23" i="11" s="1"/>
  <c r="E23" i="11"/>
  <c r="L22" i="11"/>
  <c r="K22" i="11"/>
  <c r="F22" i="11"/>
  <c r="E22" i="11"/>
  <c r="L21" i="11"/>
  <c r="K21" i="11"/>
  <c r="F21" i="11"/>
  <c r="G21" i="11" s="1"/>
  <c r="E21" i="11"/>
  <c r="F20" i="11"/>
  <c r="G20" i="11" s="1"/>
  <c r="E20" i="11"/>
  <c r="W65" i="12" l="1"/>
  <c r="W71" i="12"/>
  <c r="O71" i="12"/>
  <c r="Q71" i="12" s="1"/>
  <c r="T37" i="12"/>
  <c r="T31" i="12"/>
  <c r="O65" i="12"/>
  <c r="Q65" i="12" s="1"/>
  <c r="C48" i="11"/>
  <c r="C49" i="11"/>
  <c r="G22" i="11"/>
  <c r="F51" i="18"/>
  <c r="E51" i="18"/>
  <c r="D51" i="18"/>
  <c r="F50" i="18"/>
  <c r="E50" i="18"/>
  <c r="D50" i="18"/>
  <c r="E34" i="11"/>
  <c r="E30" i="11" s="1"/>
  <c r="F30" i="11"/>
  <c r="G30" i="11" s="1"/>
  <c r="X32" i="12"/>
  <c r="V32" i="12"/>
  <c r="Z32" i="12" s="1"/>
  <c r="AC32" i="12" s="1"/>
  <c r="J32" i="12"/>
  <c r="I32" i="12"/>
  <c r="L32" i="12"/>
  <c r="K32" i="12"/>
  <c r="I38" i="12"/>
  <c r="K38" i="12"/>
  <c r="V38" i="12"/>
  <c r="Z38" i="12" s="1"/>
  <c r="AC38" i="12" s="1"/>
  <c r="L38" i="12"/>
  <c r="K39" i="12"/>
  <c r="X39" i="12"/>
  <c r="AD37" i="12"/>
  <c r="L39" i="12"/>
  <c r="I39" i="12"/>
  <c r="J39" i="12"/>
  <c r="Y39" i="12"/>
  <c r="M27" i="10"/>
  <c r="L27" i="10"/>
  <c r="L30" i="10"/>
  <c r="P30" i="10" s="1"/>
  <c r="M30" i="10"/>
  <c r="L31" i="10"/>
  <c r="M31" i="10"/>
  <c r="Q31" i="10" s="1"/>
  <c r="L32" i="10"/>
  <c r="P32" i="10" s="1"/>
  <c r="M32" i="10"/>
  <c r="L33" i="10"/>
  <c r="M33" i="10"/>
  <c r="L34" i="10"/>
  <c r="P34" i="10" s="1"/>
  <c r="M34" i="10"/>
  <c r="L35" i="10"/>
  <c r="M35" i="10"/>
  <c r="Q35" i="10" s="1"/>
  <c r="L36" i="10"/>
  <c r="P36" i="10" s="1"/>
  <c r="M36" i="10"/>
  <c r="L37" i="10"/>
  <c r="M37" i="10"/>
  <c r="Q37" i="10" s="1"/>
  <c r="L38" i="10"/>
  <c r="P38" i="10" s="1"/>
  <c r="M38" i="10"/>
  <c r="L39" i="10"/>
  <c r="M39" i="10"/>
  <c r="Q39" i="10" s="1"/>
  <c r="L40" i="10"/>
  <c r="P40" i="10" s="1"/>
  <c r="M40" i="10"/>
  <c r="L41" i="10"/>
  <c r="M41" i="10"/>
  <c r="Q41" i="10" s="1"/>
  <c r="L42" i="10"/>
  <c r="P42" i="10" s="1"/>
  <c r="M42" i="10"/>
  <c r="L43" i="10"/>
  <c r="P43" i="10" s="1"/>
  <c r="M43" i="10"/>
  <c r="M29" i="10"/>
  <c r="Q29" i="10" s="1"/>
  <c r="L29" i="10"/>
  <c r="J28" i="10"/>
  <c r="R28" i="10" s="1"/>
  <c r="I40" i="10"/>
  <c r="H40" i="10"/>
  <c r="G40" i="10"/>
  <c r="I43" i="10"/>
  <c r="H43" i="10"/>
  <c r="G43" i="10"/>
  <c r="I42" i="10"/>
  <c r="H42" i="10"/>
  <c r="G42" i="10"/>
  <c r="I41" i="10"/>
  <c r="H41" i="10"/>
  <c r="G41" i="10"/>
  <c r="I29" i="10"/>
  <c r="H29" i="10"/>
  <c r="G29" i="10"/>
  <c r="H28" i="10"/>
  <c r="P39" i="12" l="1"/>
  <c r="R39" i="12" s="1"/>
  <c r="O38" i="12"/>
  <c r="Q38" i="12" s="1"/>
  <c r="S38" i="12" s="1"/>
  <c r="M38" i="12"/>
  <c r="V72" i="12" s="1"/>
  <c r="N32" i="12"/>
  <c r="L66" i="12" s="1"/>
  <c r="M66" i="12" s="1"/>
  <c r="M39" i="12"/>
  <c r="V73" i="12" s="1"/>
  <c r="O39" i="12"/>
  <c r="Q39" i="12" s="1"/>
  <c r="S39" i="12" s="1"/>
  <c r="P38" i="12"/>
  <c r="R38" i="12" s="1"/>
  <c r="N38" i="12"/>
  <c r="L72" i="12" s="1"/>
  <c r="M72" i="12" s="1"/>
  <c r="M32" i="12"/>
  <c r="V66" i="12" s="1"/>
  <c r="O32" i="12"/>
  <c r="Q32" i="12" s="1"/>
  <c r="S32" i="12" s="1"/>
  <c r="N39" i="12"/>
  <c r="L73" i="12" s="1"/>
  <c r="M73" i="12" s="1"/>
  <c r="P32" i="12"/>
  <c r="R32" i="12" s="1"/>
  <c r="AF38" i="12"/>
  <c r="F73" i="12"/>
  <c r="H73" i="12" s="1"/>
  <c r="F66" i="12"/>
  <c r="H66" i="12" s="1"/>
  <c r="AH38" i="12"/>
  <c r="AH32" i="12"/>
  <c r="F72" i="12"/>
  <c r="H72" i="12" s="1"/>
  <c r="AE38" i="12"/>
  <c r="AG38" i="12"/>
  <c r="AG39" i="12"/>
  <c r="AE39" i="12"/>
  <c r="AH39" i="12"/>
  <c r="AF39" i="12"/>
  <c r="AF32" i="12"/>
  <c r="AE32" i="12"/>
  <c r="AG32" i="12"/>
  <c r="H31" i="11"/>
  <c r="H32" i="11" s="1"/>
  <c r="Q32" i="11" s="1"/>
  <c r="Q31" i="11"/>
  <c r="AB32" i="12"/>
  <c r="AD32" i="12" s="1"/>
  <c r="AB38" i="12"/>
  <c r="AD38" i="12" s="1"/>
  <c r="V39" i="12"/>
  <c r="Z39" i="12" s="1"/>
  <c r="AB39" i="12" s="1"/>
  <c r="J40" i="12"/>
  <c r="X40" i="12"/>
  <c r="Y40" i="12"/>
  <c r="I45" i="10"/>
  <c r="J29" i="10"/>
  <c r="N29" i="10" s="1"/>
  <c r="P29" i="10" s="1"/>
  <c r="R29" i="10" s="1"/>
  <c r="I22" i="11"/>
  <c r="M22" i="11" s="1"/>
  <c r="P22" i="11" s="1"/>
  <c r="I23" i="11"/>
  <c r="M23" i="11" s="1"/>
  <c r="O23" i="11" s="1"/>
  <c r="I21" i="11"/>
  <c r="M21" i="11" s="1"/>
  <c r="I20" i="11"/>
  <c r="Q20" i="11" s="1"/>
  <c r="I24" i="11"/>
  <c r="O22" i="11"/>
  <c r="G30" i="10"/>
  <c r="J41" i="10"/>
  <c r="N41" i="10" s="1"/>
  <c r="P41" i="10" s="1"/>
  <c r="R41" i="10" s="1"/>
  <c r="J43" i="10"/>
  <c r="N43" i="10" s="1"/>
  <c r="Q43" i="10" s="1"/>
  <c r="R43" i="10" s="1"/>
  <c r="J42" i="10"/>
  <c r="N42" i="10" s="1"/>
  <c r="Q42" i="10" s="1"/>
  <c r="R42" i="10" s="1"/>
  <c r="I30" i="10"/>
  <c r="I44" i="10"/>
  <c r="H30" i="10"/>
  <c r="W73" i="12" l="1"/>
  <c r="W66" i="12"/>
  <c r="W72" i="12"/>
  <c r="O66" i="12"/>
  <c r="Q66" i="12" s="1"/>
  <c r="T32" i="12"/>
  <c r="O72" i="12"/>
  <c r="Q72" i="12" s="1"/>
  <c r="T38" i="12"/>
  <c r="T39" i="12"/>
  <c r="O73" i="12"/>
  <c r="Q73" i="12" s="1"/>
  <c r="X33" i="12"/>
  <c r="J33" i="12"/>
  <c r="K33" i="12"/>
  <c r="L33" i="12"/>
  <c r="I33" i="12"/>
  <c r="I40" i="12"/>
  <c r="V40" i="12"/>
  <c r="Z40" i="12" s="1"/>
  <c r="AC40" i="12" s="1"/>
  <c r="AC39" i="12"/>
  <c r="AD39" i="12" s="1"/>
  <c r="L40" i="12"/>
  <c r="P40" i="12" s="1"/>
  <c r="K40" i="12"/>
  <c r="J41" i="12"/>
  <c r="X41" i="12"/>
  <c r="Y41" i="12"/>
  <c r="I46" i="10"/>
  <c r="R46" i="10" s="1"/>
  <c r="Q22" i="11"/>
  <c r="P21" i="11"/>
  <c r="O21" i="11"/>
  <c r="P23" i="11"/>
  <c r="Q23" i="11" s="1"/>
  <c r="L27" i="11"/>
  <c r="F26" i="11"/>
  <c r="G26" i="11" s="1"/>
  <c r="L26" i="11"/>
  <c r="E26" i="11"/>
  <c r="F25" i="11"/>
  <c r="G25" i="11" s="1"/>
  <c r="E25" i="11"/>
  <c r="I27" i="11"/>
  <c r="F27" i="11"/>
  <c r="G27" i="11" s="1"/>
  <c r="E27" i="11"/>
  <c r="L25" i="11"/>
  <c r="E24" i="11"/>
  <c r="F24" i="11"/>
  <c r="L24" i="11"/>
  <c r="I28" i="11"/>
  <c r="F28" i="11"/>
  <c r="G28" i="11" s="1"/>
  <c r="L28" i="11"/>
  <c r="E28" i="11"/>
  <c r="H31" i="10"/>
  <c r="G31" i="10"/>
  <c r="I31" i="10"/>
  <c r="J31" i="10" s="1"/>
  <c r="N31" i="10" s="1"/>
  <c r="P31" i="10" s="1"/>
  <c r="R31" i="10" s="1"/>
  <c r="J30" i="10"/>
  <c r="N30" i="10" s="1"/>
  <c r="Q30" i="10" s="1"/>
  <c r="R30" i="10" s="1"/>
  <c r="F61" i="9"/>
  <c r="N86" i="9"/>
  <c r="E77" i="9"/>
  <c r="N76" i="9"/>
  <c r="M76" i="9"/>
  <c r="N75" i="9"/>
  <c r="M75" i="9"/>
  <c r="N74" i="9"/>
  <c r="M73" i="9"/>
  <c r="N72" i="9"/>
  <c r="M71" i="9"/>
  <c r="N70" i="9"/>
  <c r="M69" i="9"/>
  <c r="N68" i="9"/>
  <c r="M67" i="9"/>
  <c r="N66" i="9"/>
  <c r="M65" i="9"/>
  <c r="N64" i="9"/>
  <c r="M63" i="9"/>
  <c r="N62" i="9"/>
  <c r="M61" i="9"/>
  <c r="N60" i="9"/>
  <c r="I59" i="9"/>
  <c r="E60" i="9"/>
  <c r="N58" i="9"/>
  <c r="I58" i="9"/>
  <c r="J58" i="9" s="1"/>
  <c r="H58" i="9"/>
  <c r="G58" i="9"/>
  <c r="T53" i="9"/>
  <c r="I53" i="9"/>
  <c r="N39" i="9"/>
  <c r="N13" i="9"/>
  <c r="N23" i="9"/>
  <c r="E12" i="9"/>
  <c r="G12" i="9" s="1"/>
  <c r="N29" i="9"/>
  <c r="N28" i="9"/>
  <c r="N27" i="9"/>
  <c r="N25" i="9"/>
  <c r="N21" i="9"/>
  <c r="N19" i="9"/>
  <c r="N17" i="9"/>
  <c r="N15" i="9"/>
  <c r="N11" i="9"/>
  <c r="M29" i="9"/>
  <c r="M28" i="9"/>
  <c r="M26" i="9"/>
  <c r="M24" i="9"/>
  <c r="M22" i="9"/>
  <c r="M20" i="9"/>
  <c r="M18" i="9"/>
  <c r="M16" i="9"/>
  <c r="M14" i="9"/>
  <c r="E30" i="9"/>
  <c r="T6" i="9"/>
  <c r="L29" i="9" s="1"/>
  <c r="I11" i="9"/>
  <c r="J11" i="9" s="1"/>
  <c r="H11" i="9"/>
  <c r="G11" i="9"/>
  <c r="I6" i="9"/>
  <c r="M40" i="12" l="1"/>
  <c r="V74" i="12" s="1"/>
  <c r="O40" i="12"/>
  <c r="Q40" i="12" s="1"/>
  <c r="S40" i="12" s="1"/>
  <c r="N33" i="12"/>
  <c r="L67" i="12" s="1"/>
  <c r="M67" i="12" s="1"/>
  <c r="O33" i="12"/>
  <c r="Q33" i="12" s="1"/>
  <c r="S33" i="12" s="1"/>
  <c r="M33" i="12"/>
  <c r="V67" i="12" s="1"/>
  <c r="N40" i="12"/>
  <c r="L74" i="12" s="1"/>
  <c r="M74" i="12" s="1"/>
  <c r="P33" i="12"/>
  <c r="R33" i="12" s="1"/>
  <c r="R40" i="12"/>
  <c r="AF40" i="12"/>
  <c r="F74" i="12"/>
  <c r="H74" i="12" s="1"/>
  <c r="AH40" i="12"/>
  <c r="F67" i="12"/>
  <c r="H67" i="12" s="1"/>
  <c r="AG40" i="12"/>
  <c r="AE40" i="12"/>
  <c r="AE33" i="12"/>
  <c r="AG33" i="12"/>
  <c r="AH33" i="12"/>
  <c r="AF33" i="12"/>
  <c r="C50" i="11"/>
  <c r="J59" i="9"/>
  <c r="N59" i="9" s="1"/>
  <c r="G24" i="11"/>
  <c r="L76" i="9"/>
  <c r="V33" i="12"/>
  <c r="Z33" i="12" s="1"/>
  <c r="AC33" i="12" s="1"/>
  <c r="V34" i="12"/>
  <c r="Z34" i="12" s="1"/>
  <c r="V41" i="12"/>
  <c r="Z41" i="12" s="1"/>
  <c r="AB41" i="12" s="1"/>
  <c r="AB40" i="12"/>
  <c r="AD40" i="12" s="1"/>
  <c r="J42" i="12"/>
  <c r="I41" i="12"/>
  <c r="K41" i="12"/>
  <c r="L41" i="12"/>
  <c r="P41" i="12" s="1"/>
  <c r="X42" i="12"/>
  <c r="Y42" i="12"/>
  <c r="Q21" i="11"/>
  <c r="I25" i="11"/>
  <c r="I26" i="11"/>
  <c r="M26" i="11" s="1"/>
  <c r="O26" i="11" s="1"/>
  <c r="M28" i="11"/>
  <c r="O28" i="11" s="1"/>
  <c r="M27" i="11"/>
  <c r="O27" i="11" s="1"/>
  <c r="I32" i="10"/>
  <c r="J32" i="10" s="1"/>
  <c r="N32" i="10" s="1"/>
  <c r="Q32" i="10" s="1"/>
  <c r="R32" i="10" s="1"/>
  <c r="H32" i="10"/>
  <c r="G32" i="10"/>
  <c r="I60" i="9"/>
  <c r="J60" i="9" s="1"/>
  <c r="M60" i="9" s="1"/>
  <c r="L60" i="9"/>
  <c r="G60" i="9"/>
  <c r="K53" i="9"/>
  <c r="O81" i="9" s="1"/>
  <c r="G59" i="9"/>
  <c r="H60" i="9"/>
  <c r="H59" i="9"/>
  <c r="E13" i="9"/>
  <c r="L13" i="9" s="1"/>
  <c r="F13" i="9" s="1"/>
  <c r="I12" i="9"/>
  <c r="J12" i="9" s="1"/>
  <c r="N12" i="9" s="1"/>
  <c r="H12" i="9"/>
  <c r="K6" i="9"/>
  <c r="O34" i="9" s="1"/>
  <c r="H12" i="8"/>
  <c r="H16" i="8"/>
  <c r="G16" i="8"/>
  <c r="E16" i="8"/>
  <c r="M15" i="8"/>
  <c r="M14" i="8"/>
  <c r="W74" i="12" l="1"/>
  <c r="W67" i="12"/>
  <c r="O67" i="12"/>
  <c r="Q67" i="12" s="1"/>
  <c r="T33" i="12"/>
  <c r="N41" i="12"/>
  <c r="L75" i="12" s="1"/>
  <c r="M75" i="12" s="1"/>
  <c r="T40" i="12"/>
  <c r="O74" i="12"/>
  <c r="Q74" i="12" s="1"/>
  <c r="R41" i="12"/>
  <c r="M41" i="12"/>
  <c r="V75" i="12" s="1"/>
  <c r="O41" i="12"/>
  <c r="Q41" i="12" s="1"/>
  <c r="S41" i="12" s="1"/>
  <c r="AF41" i="12"/>
  <c r="F75" i="12"/>
  <c r="H75" i="12" s="1"/>
  <c r="AH41" i="12"/>
  <c r="AG41" i="12"/>
  <c r="AE41" i="12"/>
  <c r="M17" i="8"/>
  <c r="E14" i="9"/>
  <c r="E15" i="9" s="1"/>
  <c r="E16" i="9" s="1"/>
  <c r="E17" i="9" s="1"/>
  <c r="E18" i="9" s="1"/>
  <c r="L18" i="9" s="1"/>
  <c r="AB33" i="12"/>
  <c r="AD33" i="12" s="1"/>
  <c r="AC34" i="12"/>
  <c r="AB34" i="12"/>
  <c r="AC41" i="12"/>
  <c r="AD41" i="12" s="1"/>
  <c r="I42" i="12"/>
  <c r="K42" i="12"/>
  <c r="V42" i="12"/>
  <c r="Z42" i="12" s="1"/>
  <c r="AC42" i="12" s="1"/>
  <c r="L42" i="12"/>
  <c r="X43" i="12"/>
  <c r="X48" i="12"/>
  <c r="K43" i="12"/>
  <c r="Y43" i="12"/>
  <c r="Y48" i="12"/>
  <c r="I43" i="12"/>
  <c r="J43" i="12"/>
  <c r="L43" i="12"/>
  <c r="Y44" i="12"/>
  <c r="P26" i="11"/>
  <c r="Q26" i="11" s="1"/>
  <c r="M16" i="8"/>
  <c r="P28" i="11"/>
  <c r="Q28" i="11" s="1"/>
  <c r="P27" i="11"/>
  <c r="Q27" i="11" s="1"/>
  <c r="M25" i="11"/>
  <c r="M24" i="11"/>
  <c r="H33" i="10"/>
  <c r="G33" i="10"/>
  <c r="I33" i="10"/>
  <c r="J33" i="10" s="1"/>
  <c r="N33" i="10" s="1"/>
  <c r="L61" i="9"/>
  <c r="G13" i="9"/>
  <c r="L16" i="9"/>
  <c r="L17" i="9"/>
  <c r="N15" i="8"/>
  <c r="M9" i="8"/>
  <c r="G13" i="8"/>
  <c r="F13" i="8"/>
  <c r="E13" i="8"/>
  <c r="M12" i="8"/>
  <c r="M10" i="8"/>
  <c r="I14" i="8"/>
  <c r="J15" i="8"/>
  <c r="L15" i="8"/>
  <c r="K15" i="8"/>
  <c r="I15" i="8"/>
  <c r="L14" i="8"/>
  <c r="K14" i="8"/>
  <c r="J14" i="8"/>
  <c r="L12" i="8"/>
  <c r="K12" i="8"/>
  <c r="J12" i="8"/>
  <c r="I12" i="8"/>
  <c r="L10" i="8"/>
  <c r="K10" i="8"/>
  <c r="J10" i="8"/>
  <c r="I10" i="8"/>
  <c r="L9" i="8"/>
  <c r="K9" i="8"/>
  <c r="J9" i="8"/>
  <c r="I9" i="8"/>
  <c r="I4" i="8"/>
  <c r="P13" i="8" s="1"/>
  <c r="P33" i="10" l="1"/>
  <c r="R33" i="10" s="1"/>
  <c r="Q33" i="10"/>
  <c r="M18" i="8"/>
  <c r="W75" i="12"/>
  <c r="P43" i="12"/>
  <c r="R43" i="12" s="1"/>
  <c r="N42" i="12"/>
  <c r="L76" i="12" s="1"/>
  <c r="M76" i="12" s="1"/>
  <c r="M42" i="12"/>
  <c r="V76" i="12" s="1"/>
  <c r="O42" i="12"/>
  <c r="Q42" i="12" s="1"/>
  <c r="S42" i="12" s="1"/>
  <c r="T41" i="12"/>
  <c r="O75" i="12"/>
  <c r="Q75" i="12" s="1"/>
  <c r="O43" i="12"/>
  <c r="Q43" i="12" s="1"/>
  <c r="S43" i="12" s="1"/>
  <c r="M43" i="12"/>
  <c r="V77" i="12" s="1"/>
  <c r="N43" i="12"/>
  <c r="L77" i="12" s="1"/>
  <c r="M77" i="12" s="1"/>
  <c r="P42" i="12"/>
  <c r="R42" i="12" s="1"/>
  <c r="AF42" i="12"/>
  <c r="F77" i="12"/>
  <c r="H77" i="12" s="1"/>
  <c r="AH42" i="12"/>
  <c r="F76" i="12"/>
  <c r="H76" i="12" s="1"/>
  <c r="AH43" i="12"/>
  <c r="AG43" i="12"/>
  <c r="AE43" i="12"/>
  <c r="AF43" i="12"/>
  <c r="AG42" i="12"/>
  <c r="AE42" i="12"/>
  <c r="L15" i="9"/>
  <c r="E19" i="9"/>
  <c r="L19" i="9" s="1"/>
  <c r="L14" i="9"/>
  <c r="F14" i="9" s="1"/>
  <c r="G14" i="9" s="1"/>
  <c r="AD34" i="12"/>
  <c r="AB42" i="12"/>
  <c r="AD42" i="12" s="1"/>
  <c r="V43" i="12"/>
  <c r="Z43" i="12" s="1"/>
  <c r="AC43" i="12" s="1"/>
  <c r="J44" i="12"/>
  <c r="X44" i="12"/>
  <c r="Y45" i="12"/>
  <c r="P24" i="11"/>
  <c r="O24" i="11"/>
  <c r="P25" i="11"/>
  <c r="O25" i="11"/>
  <c r="H34" i="10"/>
  <c r="G34" i="10"/>
  <c r="H35" i="10"/>
  <c r="I34" i="10"/>
  <c r="J34" i="10" s="1"/>
  <c r="N34" i="10" s="1"/>
  <c r="Q34" i="10" s="1"/>
  <c r="R34" i="10" s="1"/>
  <c r="H61" i="9"/>
  <c r="I61" i="9"/>
  <c r="L62" i="9"/>
  <c r="G61" i="9"/>
  <c r="F16" i="9"/>
  <c r="F17" i="9" s="1"/>
  <c r="N10" i="8"/>
  <c r="M13" i="8"/>
  <c r="K4" i="8"/>
  <c r="N9" i="8"/>
  <c r="K13" i="8"/>
  <c r="I13" i="8"/>
  <c r="L13" i="8"/>
  <c r="J13" i="8"/>
  <c r="K11" i="8"/>
  <c r="M11" i="8"/>
  <c r="N11" i="8" s="1"/>
  <c r="L11" i="8"/>
  <c r="I11" i="8"/>
  <c r="J11" i="8"/>
  <c r="O70" i="6"/>
  <c r="E20" i="9" l="1"/>
  <c r="L20" i="9" s="1"/>
  <c r="F20" i="9" s="1"/>
  <c r="W76" i="12"/>
  <c r="W77" i="12"/>
  <c r="O76" i="12"/>
  <c r="Q76" i="12" s="1"/>
  <c r="T42" i="12"/>
  <c r="T43" i="12"/>
  <c r="O77" i="12"/>
  <c r="Q77" i="12" s="1"/>
  <c r="I14" i="9"/>
  <c r="F18" i="9"/>
  <c r="F19" i="9" s="1"/>
  <c r="I17" i="9"/>
  <c r="H17" i="9"/>
  <c r="G17" i="9"/>
  <c r="F15" i="9"/>
  <c r="H14" i="9"/>
  <c r="N13" i="8"/>
  <c r="AB43" i="12"/>
  <c r="AD43" i="12" s="1"/>
  <c r="K44" i="12"/>
  <c r="I44" i="12"/>
  <c r="J45" i="12"/>
  <c r="L44" i="12"/>
  <c r="P44" i="12" s="1"/>
  <c r="V44" i="12"/>
  <c r="Z44" i="12" s="1"/>
  <c r="AC44" i="12" s="1"/>
  <c r="X45" i="12"/>
  <c r="Y47" i="12"/>
  <c r="Y46" i="12"/>
  <c r="Q25" i="11"/>
  <c r="Q24" i="11"/>
  <c r="G35" i="10"/>
  <c r="I35" i="10"/>
  <c r="J35" i="10" s="1"/>
  <c r="N35" i="10" s="1"/>
  <c r="P35" i="10" s="1"/>
  <c r="R35" i="10" s="1"/>
  <c r="J61" i="9"/>
  <c r="N61" i="9" s="1"/>
  <c r="I62" i="9"/>
  <c r="J62" i="9" s="1"/>
  <c r="H62" i="9"/>
  <c r="L63" i="9"/>
  <c r="G63" i="9" s="1"/>
  <c r="G62" i="9"/>
  <c r="H16" i="9"/>
  <c r="I16" i="9"/>
  <c r="G16" i="9"/>
  <c r="F21" i="9"/>
  <c r="N12" i="8"/>
  <c r="N14" i="8"/>
  <c r="D70" i="6"/>
  <c r="M33" i="7"/>
  <c r="D61" i="6"/>
  <c r="L73" i="6"/>
  <c r="H69" i="6"/>
  <c r="E21" i="9" l="1"/>
  <c r="G18" i="9"/>
  <c r="R44" i="12"/>
  <c r="N44" i="12"/>
  <c r="L78" i="12" s="1"/>
  <c r="M78" i="12" s="1"/>
  <c r="O44" i="12"/>
  <c r="Q44" i="12" s="1"/>
  <c r="S44" i="12" s="1"/>
  <c r="M44" i="12"/>
  <c r="V78" i="12" s="1"/>
  <c r="AF44" i="12"/>
  <c r="F78" i="12"/>
  <c r="H78" i="12" s="1"/>
  <c r="AH44" i="12"/>
  <c r="AG44" i="12"/>
  <c r="AE44" i="12"/>
  <c r="H18" i="9"/>
  <c r="I18" i="9"/>
  <c r="J18" i="9" s="1"/>
  <c r="N18" i="9" s="1"/>
  <c r="B22" i="8"/>
  <c r="Q13" i="8"/>
  <c r="G15" i="9"/>
  <c r="I15" i="9"/>
  <c r="J15" i="9" s="1"/>
  <c r="M15" i="9" s="1"/>
  <c r="H15" i="9"/>
  <c r="P97" i="6"/>
  <c r="R97" i="6"/>
  <c r="N97" i="6"/>
  <c r="L70" i="6"/>
  <c r="V45" i="12"/>
  <c r="Z45" i="12" s="1"/>
  <c r="AC45" i="12" s="1"/>
  <c r="I45" i="12"/>
  <c r="K45" i="12"/>
  <c r="AB44" i="12"/>
  <c r="AD44" i="12" s="1"/>
  <c r="L45" i="12"/>
  <c r="X46" i="12"/>
  <c r="X47" i="12"/>
  <c r="I36" i="10"/>
  <c r="J36" i="10" s="1"/>
  <c r="N36" i="10" s="1"/>
  <c r="Q36" i="10" s="1"/>
  <c r="R36" i="10" s="1"/>
  <c r="G37" i="10"/>
  <c r="G36" i="10"/>
  <c r="H36" i="10"/>
  <c r="M62" i="9"/>
  <c r="L64" i="9"/>
  <c r="I63" i="9"/>
  <c r="J63" i="9" s="1"/>
  <c r="N63" i="9" s="1"/>
  <c r="H63" i="9"/>
  <c r="J17" i="9"/>
  <c r="M17" i="9" s="1"/>
  <c r="G19" i="9"/>
  <c r="I19" i="9"/>
  <c r="J19" i="9" s="1"/>
  <c r="M19" i="9" s="1"/>
  <c r="H19" i="9"/>
  <c r="C44" i="7"/>
  <c r="C45" i="7" s="1"/>
  <c r="M43" i="7"/>
  <c r="K43" i="7"/>
  <c r="J43" i="7"/>
  <c r="I43" i="7"/>
  <c r="H43" i="7"/>
  <c r="M42" i="7"/>
  <c r="K42" i="7"/>
  <c r="J42" i="7"/>
  <c r="I42" i="7"/>
  <c r="H42" i="7"/>
  <c r="M41" i="7"/>
  <c r="K41" i="7"/>
  <c r="J41" i="7"/>
  <c r="I41" i="7"/>
  <c r="H41" i="7"/>
  <c r="M40" i="7"/>
  <c r="K40" i="7"/>
  <c r="J40" i="7"/>
  <c r="I40" i="7"/>
  <c r="H40" i="7"/>
  <c r="M39" i="7"/>
  <c r="K39" i="7"/>
  <c r="J39" i="7"/>
  <c r="I39" i="7"/>
  <c r="H39" i="7"/>
  <c r="M38" i="7"/>
  <c r="K38" i="7"/>
  <c r="J38" i="7"/>
  <c r="I38" i="7"/>
  <c r="H38" i="7"/>
  <c r="M37" i="7"/>
  <c r="K37" i="7"/>
  <c r="J37" i="7"/>
  <c r="I37" i="7"/>
  <c r="H37" i="7"/>
  <c r="M36" i="7"/>
  <c r="K36" i="7"/>
  <c r="J36" i="7"/>
  <c r="I36" i="7"/>
  <c r="H36" i="7"/>
  <c r="M35" i="7"/>
  <c r="K35" i="7"/>
  <c r="J35" i="7"/>
  <c r="I35" i="7"/>
  <c r="H35" i="7"/>
  <c r="M34" i="7"/>
  <c r="K34" i="7"/>
  <c r="J34" i="7"/>
  <c r="I34" i="7"/>
  <c r="H34" i="7"/>
  <c r="N33" i="7"/>
  <c r="K33" i="7"/>
  <c r="J33" i="7"/>
  <c r="I33" i="7"/>
  <c r="H33" i="7"/>
  <c r="M26" i="7"/>
  <c r="K26" i="7"/>
  <c r="J26" i="7"/>
  <c r="I26" i="7"/>
  <c r="H26" i="7"/>
  <c r="M25" i="7"/>
  <c r="K25" i="7"/>
  <c r="J25" i="7"/>
  <c r="I25" i="7"/>
  <c r="H25" i="7"/>
  <c r="M24" i="7"/>
  <c r="K24" i="7"/>
  <c r="J24" i="7"/>
  <c r="I24" i="7"/>
  <c r="H24" i="7"/>
  <c r="M23" i="7"/>
  <c r="K23" i="7"/>
  <c r="J23" i="7"/>
  <c r="I23" i="7"/>
  <c r="H23" i="7"/>
  <c r="M22" i="7"/>
  <c r="K22" i="7"/>
  <c r="J22" i="7"/>
  <c r="I22" i="7"/>
  <c r="H22" i="7"/>
  <c r="M21" i="7"/>
  <c r="K21" i="7"/>
  <c r="J21" i="7"/>
  <c r="I21" i="7"/>
  <c r="H21" i="7"/>
  <c r="M20" i="7"/>
  <c r="K20" i="7"/>
  <c r="J20" i="7"/>
  <c r="I20" i="7"/>
  <c r="H20" i="7"/>
  <c r="M19" i="7"/>
  <c r="K19" i="7"/>
  <c r="J19" i="7"/>
  <c r="I19" i="7"/>
  <c r="H19" i="7"/>
  <c r="M18" i="7"/>
  <c r="N18" i="7" s="1"/>
  <c r="K18" i="7"/>
  <c r="J18" i="7"/>
  <c r="I18" i="7"/>
  <c r="H18" i="7"/>
  <c r="M14" i="7"/>
  <c r="K14" i="7"/>
  <c r="J14" i="7"/>
  <c r="I14" i="7"/>
  <c r="H14" i="7"/>
  <c r="M13" i="7"/>
  <c r="K13" i="7"/>
  <c r="J13" i="7"/>
  <c r="I13" i="7"/>
  <c r="H13" i="7"/>
  <c r="M12" i="7"/>
  <c r="K12" i="7"/>
  <c r="J12" i="7"/>
  <c r="I12" i="7"/>
  <c r="H12" i="7"/>
  <c r="M11" i="7"/>
  <c r="K11" i="7"/>
  <c r="J11" i="7"/>
  <c r="I11" i="7"/>
  <c r="H11" i="7"/>
  <c r="M10" i="7"/>
  <c r="K10" i="7"/>
  <c r="J10" i="7"/>
  <c r="I10" i="7"/>
  <c r="H10" i="7"/>
  <c r="M9" i="7"/>
  <c r="K9" i="7"/>
  <c r="J9" i="7"/>
  <c r="I9" i="7"/>
  <c r="H9" i="7"/>
  <c r="M8" i="7"/>
  <c r="K8" i="7"/>
  <c r="J8" i="7"/>
  <c r="I8" i="7"/>
  <c r="H8" i="7"/>
  <c r="M7" i="7"/>
  <c r="K7" i="7"/>
  <c r="J7" i="7"/>
  <c r="I7" i="7"/>
  <c r="H7" i="7"/>
  <c r="M6" i="7"/>
  <c r="N6" i="7" s="1"/>
  <c r="K6" i="7"/>
  <c r="J6" i="7"/>
  <c r="I6" i="7"/>
  <c r="H6" i="7"/>
  <c r="L21" i="9" l="1"/>
  <c r="E22" i="9"/>
  <c r="N35" i="7"/>
  <c r="W78" i="12"/>
  <c r="P45" i="12"/>
  <c r="R45" i="12" s="1"/>
  <c r="N45" i="12"/>
  <c r="L79" i="12" s="1"/>
  <c r="M79" i="12" s="1"/>
  <c r="M45" i="12"/>
  <c r="V79" i="12" s="1"/>
  <c r="O45" i="12"/>
  <c r="Q45" i="12" s="1"/>
  <c r="S45" i="12" s="1"/>
  <c r="T44" i="12"/>
  <c r="O78" i="12"/>
  <c r="Q78" i="12" s="1"/>
  <c r="AF45" i="12"/>
  <c r="F79" i="12"/>
  <c r="H79" i="12" s="1"/>
  <c r="AH45" i="12"/>
  <c r="AG45" i="12"/>
  <c r="AE45" i="12"/>
  <c r="J16" i="9"/>
  <c r="N16" i="9" s="1"/>
  <c r="N13" i="7"/>
  <c r="N22" i="7"/>
  <c r="N26" i="7"/>
  <c r="N36" i="7"/>
  <c r="N37" i="7"/>
  <c r="N25" i="7"/>
  <c r="O97" i="6"/>
  <c r="O98" i="6"/>
  <c r="S97" i="6"/>
  <c r="S98" i="6"/>
  <c r="Q97" i="6"/>
  <c r="Q98" i="6"/>
  <c r="N20" i="7"/>
  <c r="N10" i="7"/>
  <c r="N14" i="7"/>
  <c r="N21" i="7"/>
  <c r="N40" i="7"/>
  <c r="N43" i="7"/>
  <c r="N41" i="7"/>
  <c r="N8" i="7"/>
  <c r="N38" i="7"/>
  <c r="N42" i="7"/>
  <c r="J46" i="12"/>
  <c r="I46" i="12"/>
  <c r="V46" i="12"/>
  <c r="Z46" i="12" s="1"/>
  <c r="AB46" i="12" s="1"/>
  <c r="L46" i="12"/>
  <c r="L47" i="12"/>
  <c r="I47" i="12"/>
  <c r="J47" i="12"/>
  <c r="K47" i="12"/>
  <c r="AB45" i="12"/>
  <c r="AD45" i="12" s="1"/>
  <c r="K46" i="12"/>
  <c r="I37" i="10"/>
  <c r="J37" i="10" s="1"/>
  <c r="N37" i="10" s="1"/>
  <c r="P37" i="10" s="1"/>
  <c r="R37" i="10" s="1"/>
  <c r="H37" i="10"/>
  <c r="I64" i="9"/>
  <c r="J64" i="9" s="1"/>
  <c r="M64" i="9" s="1"/>
  <c r="H64" i="9"/>
  <c r="G64" i="9"/>
  <c r="G65" i="9"/>
  <c r="L65" i="9"/>
  <c r="I20" i="9"/>
  <c r="J20" i="9" s="1"/>
  <c r="N20" i="9" s="1"/>
  <c r="H20" i="9"/>
  <c r="G20" i="9"/>
  <c r="Q33" i="7"/>
  <c r="K45" i="7"/>
  <c r="J45" i="7"/>
  <c r="I45" i="7"/>
  <c r="C46" i="7"/>
  <c r="M45" i="7"/>
  <c r="H45" i="7"/>
  <c r="N12" i="7"/>
  <c r="N24" i="7"/>
  <c r="I44" i="7"/>
  <c r="N7" i="7"/>
  <c r="N9" i="7"/>
  <c r="N19" i="7"/>
  <c r="J44" i="7"/>
  <c r="N11" i="7"/>
  <c r="N23" i="7"/>
  <c r="N34" i="7"/>
  <c r="N39" i="7"/>
  <c r="K44" i="7"/>
  <c r="H44" i="7"/>
  <c r="M44" i="7"/>
  <c r="N44" i="7" s="1"/>
  <c r="O22" i="7" l="1"/>
  <c r="E23" i="9"/>
  <c r="L22" i="9"/>
  <c r="F22" i="9" s="1"/>
  <c r="W79" i="12"/>
  <c r="P47" i="12"/>
  <c r="R47" i="12" s="1"/>
  <c r="P46" i="12"/>
  <c r="R46" i="12" s="1"/>
  <c r="O79" i="12"/>
  <c r="Q79" i="12" s="1"/>
  <c r="T45" i="12"/>
  <c r="M46" i="12"/>
  <c r="V80" i="12" s="1"/>
  <c r="O46" i="12"/>
  <c r="Q46" i="12" s="1"/>
  <c r="S46" i="12" s="1"/>
  <c r="N46" i="12"/>
  <c r="L80" i="12" s="1"/>
  <c r="M80" i="12" s="1"/>
  <c r="N47" i="12"/>
  <c r="L81" i="12" s="1"/>
  <c r="M81" i="12" s="1"/>
  <c r="O47" i="12"/>
  <c r="Q47" i="12" s="1"/>
  <c r="S47" i="12" s="1"/>
  <c r="M47" i="12"/>
  <c r="V81" i="12" s="1"/>
  <c r="F80" i="12"/>
  <c r="H80" i="12" s="1"/>
  <c r="F81" i="12"/>
  <c r="H81" i="12" s="1"/>
  <c r="AH46" i="12"/>
  <c r="AH47" i="12"/>
  <c r="AF47" i="12"/>
  <c r="AG47" i="12"/>
  <c r="AE47" i="12"/>
  <c r="AF46" i="12"/>
  <c r="AG46" i="12"/>
  <c r="AE46" i="12"/>
  <c r="O41" i="7"/>
  <c r="O37" i="7"/>
  <c r="O14" i="7"/>
  <c r="O10" i="7"/>
  <c r="O26" i="7"/>
  <c r="Q44" i="7"/>
  <c r="V47" i="12"/>
  <c r="Z47" i="12" s="1"/>
  <c r="AB47" i="12" s="1"/>
  <c r="AC46" i="12"/>
  <c r="AD46" i="12" s="1"/>
  <c r="U53" i="12"/>
  <c r="U54" i="12" s="1"/>
  <c r="K48" i="12"/>
  <c r="I48" i="12"/>
  <c r="J48" i="12"/>
  <c r="L48" i="12"/>
  <c r="V48" i="12"/>
  <c r="Z48" i="12" s="1"/>
  <c r="AB48" i="12" s="1"/>
  <c r="J49" i="12"/>
  <c r="K49" i="12"/>
  <c r="L49" i="12"/>
  <c r="I49" i="12"/>
  <c r="H38" i="10"/>
  <c r="I38" i="10"/>
  <c r="J38" i="10" s="1"/>
  <c r="N38" i="10" s="1"/>
  <c r="Q38" i="10" s="1"/>
  <c r="R38" i="10" s="1"/>
  <c r="G38" i="10"/>
  <c r="L66" i="9"/>
  <c r="I65" i="9"/>
  <c r="J65" i="9" s="1"/>
  <c r="N65" i="9" s="1"/>
  <c r="H65" i="9"/>
  <c r="I21" i="9"/>
  <c r="G21" i="9"/>
  <c r="H21" i="9"/>
  <c r="Q38" i="7"/>
  <c r="Q35" i="7"/>
  <c r="Q39" i="7"/>
  <c r="N45" i="7"/>
  <c r="Q43" i="7"/>
  <c r="R43" i="7" s="1"/>
  <c r="Q36" i="7"/>
  <c r="Q40" i="7"/>
  <c r="J46" i="7"/>
  <c r="I46" i="7"/>
  <c r="C47" i="7"/>
  <c r="M46" i="7"/>
  <c r="N46" i="7" s="1"/>
  <c r="H46" i="7"/>
  <c r="K46" i="7"/>
  <c r="Q37" i="7"/>
  <c r="Q41" i="7"/>
  <c r="Q42" i="7"/>
  <c r="Q34" i="7"/>
  <c r="L23" i="9" l="1"/>
  <c r="F23" i="9" s="1"/>
  <c r="E24" i="9"/>
  <c r="W81" i="12"/>
  <c r="W80" i="12"/>
  <c r="P49" i="12"/>
  <c r="R49" i="12" s="1"/>
  <c r="N49" i="12"/>
  <c r="L83" i="12" s="1"/>
  <c r="M83" i="12" s="1"/>
  <c r="P48" i="12"/>
  <c r="R48" i="12" s="1"/>
  <c r="O80" i="12"/>
  <c r="Q80" i="12" s="1"/>
  <c r="T46" i="12"/>
  <c r="M48" i="12"/>
  <c r="V82" i="12" s="1"/>
  <c r="O48" i="12"/>
  <c r="Q48" i="12" s="1"/>
  <c r="S48" i="12" s="1"/>
  <c r="O81" i="12"/>
  <c r="Q81" i="12" s="1"/>
  <c r="T47" i="12"/>
  <c r="O49" i="12"/>
  <c r="Q49" i="12" s="1"/>
  <c r="S49" i="12" s="1"/>
  <c r="M49" i="12"/>
  <c r="V83" i="12" s="1"/>
  <c r="N48" i="12"/>
  <c r="L82" i="12" s="1"/>
  <c r="M82" i="12" s="1"/>
  <c r="F82" i="12"/>
  <c r="H82" i="12" s="1"/>
  <c r="AH48" i="12"/>
  <c r="F83" i="12"/>
  <c r="H83" i="12" s="1"/>
  <c r="AG49" i="12"/>
  <c r="AE49" i="12"/>
  <c r="AH49" i="12"/>
  <c r="AF49" i="12"/>
  <c r="AF48" i="12"/>
  <c r="AE48" i="12"/>
  <c r="AG48" i="12"/>
  <c r="J21" i="9"/>
  <c r="M21" i="9" s="1"/>
  <c r="Q45" i="7"/>
  <c r="R44" i="7"/>
  <c r="R45" i="7" s="1"/>
  <c r="R46" i="7" s="1"/>
  <c r="R47" i="7" s="1"/>
  <c r="AC47" i="12"/>
  <c r="AD47" i="12" s="1"/>
  <c r="V49" i="12"/>
  <c r="Z49" i="12" s="1"/>
  <c r="AC48" i="12"/>
  <c r="AD48" i="12" s="1"/>
  <c r="J50" i="12"/>
  <c r="K50" i="12"/>
  <c r="I50" i="12"/>
  <c r="L50" i="12"/>
  <c r="V50" i="12"/>
  <c r="Z50" i="12" s="1"/>
  <c r="H39" i="10"/>
  <c r="I39" i="10"/>
  <c r="G39" i="10"/>
  <c r="H66" i="9"/>
  <c r="I66" i="9"/>
  <c r="J66" i="9" s="1"/>
  <c r="M66" i="9" s="1"/>
  <c r="G66" i="9"/>
  <c r="L67" i="9"/>
  <c r="G22" i="9"/>
  <c r="H22" i="9"/>
  <c r="I22" i="9"/>
  <c r="J22" i="9" s="1"/>
  <c r="N22" i="9" s="1"/>
  <c r="Q46" i="7"/>
  <c r="I47" i="7"/>
  <c r="C48" i="7"/>
  <c r="M47" i="7"/>
  <c r="N47" i="7" s="1"/>
  <c r="Q47" i="7" s="1"/>
  <c r="H47" i="7"/>
  <c r="K47" i="7"/>
  <c r="J47" i="7"/>
  <c r="L24" i="9" l="1"/>
  <c r="F24" i="9" s="1"/>
  <c r="E25" i="9"/>
  <c r="W83" i="12"/>
  <c r="W82" i="12"/>
  <c r="T49" i="12"/>
  <c r="O83" i="12"/>
  <c r="Q83" i="12" s="1"/>
  <c r="O50" i="12"/>
  <c r="Q50" i="12" s="1"/>
  <c r="S50" i="12" s="1"/>
  <c r="M50" i="12"/>
  <c r="V84" i="12" s="1"/>
  <c r="O82" i="12"/>
  <c r="Q82" i="12" s="1"/>
  <c r="T48" i="12"/>
  <c r="N50" i="12"/>
  <c r="L84" i="12" s="1"/>
  <c r="M84" i="12" s="1"/>
  <c r="S83" i="12" s="1"/>
  <c r="P50" i="12"/>
  <c r="R50" i="12" s="1"/>
  <c r="F84" i="12"/>
  <c r="AH50" i="12"/>
  <c r="AF50" i="12"/>
  <c r="AE50" i="12"/>
  <c r="AG50" i="12"/>
  <c r="P53" i="12"/>
  <c r="R48" i="7"/>
  <c r="AC50" i="12"/>
  <c r="AB50" i="12"/>
  <c r="AC49" i="12"/>
  <c r="AB49" i="12"/>
  <c r="J39" i="10"/>
  <c r="N39" i="10" s="1"/>
  <c r="P39" i="10" s="1"/>
  <c r="R39" i="10" s="1"/>
  <c r="J40" i="10"/>
  <c r="N40" i="10" s="1"/>
  <c r="Q40" i="10" s="1"/>
  <c r="R40" i="10" s="1"/>
  <c r="I67" i="9"/>
  <c r="J67" i="9" s="1"/>
  <c r="N67" i="9" s="1"/>
  <c r="H67" i="9"/>
  <c r="L68" i="9"/>
  <c r="G67" i="9"/>
  <c r="I23" i="9"/>
  <c r="J23" i="9" s="1"/>
  <c r="M23" i="9" s="1"/>
  <c r="G23" i="9"/>
  <c r="H23" i="9"/>
  <c r="C49" i="7"/>
  <c r="M48" i="7"/>
  <c r="N48" i="7" s="1"/>
  <c r="H48" i="7"/>
  <c r="K48" i="7"/>
  <c r="J48" i="7"/>
  <c r="I48" i="7"/>
  <c r="E26" i="9" l="1"/>
  <c r="L25" i="9"/>
  <c r="F25" i="9" s="1"/>
  <c r="W84" i="12"/>
  <c r="H84" i="12"/>
  <c r="R83" i="12" s="1"/>
  <c r="T50" i="12"/>
  <c r="O84" i="12"/>
  <c r="P54" i="12"/>
  <c r="AD49" i="12"/>
  <c r="AD50" i="12"/>
  <c r="L69" i="9"/>
  <c r="G69" i="9"/>
  <c r="I68" i="9"/>
  <c r="J68" i="9" s="1"/>
  <c r="M68" i="9" s="1"/>
  <c r="H68" i="9"/>
  <c r="G68" i="9"/>
  <c r="I24" i="9"/>
  <c r="J24" i="9" s="1"/>
  <c r="N24" i="9" s="1"/>
  <c r="H24" i="9"/>
  <c r="G24" i="9"/>
  <c r="K49" i="7"/>
  <c r="J49" i="7"/>
  <c r="I49" i="7"/>
  <c r="C50" i="7"/>
  <c r="M49" i="7"/>
  <c r="N49" i="7" s="1"/>
  <c r="Q49" i="7" s="1"/>
  <c r="H49" i="7"/>
  <c r="R49" i="7"/>
  <c r="Q48" i="7"/>
  <c r="E27" i="9" l="1"/>
  <c r="L26" i="9"/>
  <c r="F26" i="9" s="1"/>
  <c r="R50" i="7"/>
  <c r="Q84" i="12"/>
  <c r="T83" i="12" s="1"/>
  <c r="S84" i="12" s="1"/>
  <c r="L70" i="9"/>
  <c r="I69" i="9"/>
  <c r="J69" i="9" s="1"/>
  <c r="N69" i="9" s="1"/>
  <c r="H69" i="9"/>
  <c r="G25" i="9"/>
  <c r="I25" i="9"/>
  <c r="H25" i="9"/>
  <c r="J50" i="7"/>
  <c r="I50" i="7"/>
  <c r="C51" i="7"/>
  <c r="R51" i="7" s="1"/>
  <c r="M50" i="7"/>
  <c r="N50" i="7" s="1"/>
  <c r="H50" i="7"/>
  <c r="K50" i="7"/>
  <c r="E28" i="9" l="1"/>
  <c r="L28" i="9" s="1"/>
  <c r="L27" i="9"/>
  <c r="F27" i="9" s="1"/>
  <c r="J25" i="9"/>
  <c r="I70" i="9"/>
  <c r="J70" i="9" s="1"/>
  <c r="M70" i="9" s="1"/>
  <c r="H70" i="9"/>
  <c r="L71" i="9"/>
  <c r="G70" i="9"/>
  <c r="G26" i="9"/>
  <c r="H26" i="9"/>
  <c r="I26" i="9"/>
  <c r="J26" i="9" s="1"/>
  <c r="N26" i="9" s="1"/>
  <c r="N34" i="9" s="1"/>
  <c r="I51" i="7"/>
  <c r="C52" i="7"/>
  <c r="R52" i="7" s="1"/>
  <c r="M51" i="7"/>
  <c r="N51" i="7" s="1"/>
  <c r="Q51" i="7" s="1"/>
  <c r="H51" i="7"/>
  <c r="K51" i="7"/>
  <c r="J51" i="7"/>
  <c r="Q50" i="7"/>
  <c r="F28" i="9" l="1"/>
  <c r="F29" i="9" s="1"/>
  <c r="F30" i="9" s="1"/>
  <c r="M25" i="9"/>
  <c r="I71" i="9"/>
  <c r="J71" i="9" s="1"/>
  <c r="N71" i="9" s="1"/>
  <c r="H71" i="9"/>
  <c r="G72" i="9"/>
  <c r="L72" i="9"/>
  <c r="G71" i="9"/>
  <c r="G27" i="9"/>
  <c r="I27" i="9"/>
  <c r="J27" i="9" s="1"/>
  <c r="M27" i="9" s="1"/>
  <c r="H27" i="9"/>
  <c r="C53" i="7"/>
  <c r="M52" i="7"/>
  <c r="N52" i="7" s="1"/>
  <c r="Q52" i="7" s="1"/>
  <c r="H52" i="7"/>
  <c r="K52" i="7"/>
  <c r="J52" i="7"/>
  <c r="I52" i="7"/>
  <c r="G73" i="9" l="1"/>
  <c r="L73" i="9"/>
  <c r="I72" i="9"/>
  <c r="J72" i="9" s="1"/>
  <c r="M72" i="9" s="1"/>
  <c r="H72" i="9"/>
  <c r="G28" i="9"/>
  <c r="I28" i="9"/>
  <c r="J28" i="9" s="1"/>
  <c r="H28" i="9"/>
  <c r="K53" i="7"/>
  <c r="J53" i="7"/>
  <c r="I53" i="7"/>
  <c r="C54" i="7"/>
  <c r="M53" i="7"/>
  <c r="N53" i="7" s="1"/>
  <c r="Q53" i="7" s="1"/>
  <c r="H53" i="7"/>
  <c r="R53" i="7"/>
  <c r="R54" i="7" l="1"/>
  <c r="I73" i="9"/>
  <c r="J73" i="9" s="1"/>
  <c r="N73" i="9" s="1"/>
  <c r="N81" i="9" s="1"/>
  <c r="H73" i="9"/>
  <c r="G74" i="9"/>
  <c r="L74" i="9"/>
  <c r="G29" i="9"/>
  <c r="I29" i="9"/>
  <c r="J29" i="9" s="1"/>
  <c r="H29" i="9"/>
  <c r="J54" i="7"/>
  <c r="I54" i="7"/>
  <c r="C55" i="7"/>
  <c r="M54" i="7"/>
  <c r="N54" i="7" s="1"/>
  <c r="Q54" i="7" s="1"/>
  <c r="H54" i="7"/>
  <c r="K54" i="7"/>
  <c r="R55" i="7" l="1"/>
  <c r="G75" i="9"/>
  <c r="L75" i="9"/>
  <c r="H74" i="9"/>
  <c r="I74" i="9"/>
  <c r="J74" i="9" s="1"/>
  <c r="M74" i="9" s="1"/>
  <c r="M81" i="9" s="1"/>
  <c r="G30" i="9"/>
  <c r="I30" i="9"/>
  <c r="H30" i="9"/>
  <c r="I55" i="7"/>
  <c r="C56" i="7"/>
  <c r="M55" i="7"/>
  <c r="N55" i="7" s="1"/>
  <c r="Q55" i="7" s="1"/>
  <c r="H55" i="7"/>
  <c r="K55" i="7"/>
  <c r="J55" i="7"/>
  <c r="R56" i="7" l="1"/>
  <c r="I75" i="9"/>
  <c r="J75" i="9" s="1"/>
  <c r="H75" i="9"/>
  <c r="C57" i="7"/>
  <c r="M56" i="7"/>
  <c r="N56" i="7" s="1"/>
  <c r="Q56" i="7" s="1"/>
  <c r="H56" i="7"/>
  <c r="K56" i="7"/>
  <c r="J56" i="7"/>
  <c r="I56" i="7"/>
  <c r="F77" i="9" l="1"/>
  <c r="G76" i="9"/>
  <c r="I76" i="9"/>
  <c r="J76" i="9" s="1"/>
  <c r="J77" i="9" s="1"/>
  <c r="H76" i="9"/>
  <c r="K57" i="7"/>
  <c r="J57" i="7"/>
  <c r="I57" i="7"/>
  <c r="C58" i="7"/>
  <c r="M57" i="7"/>
  <c r="N57" i="7" s="1"/>
  <c r="Q57" i="7" s="1"/>
  <c r="H57" i="7"/>
  <c r="R57" i="7"/>
  <c r="R58" i="7" l="1"/>
  <c r="I77" i="9"/>
  <c r="H77" i="9"/>
  <c r="G77" i="9"/>
  <c r="J58" i="7"/>
  <c r="I58" i="7"/>
  <c r="C59" i="7"/>
  <c r="R59" i="7" s="1"/>
  <c r="M58" i="7"/>
  <c r="N58" i="7" s="1"/>
  <c r="Q58" i="7" s="1"/>
  <c r="H58" i="7"/>
  <c r="K58" i="7"/>
  <c r="J78" i="9" l="1"/>
  <c r="I59" i="7"/>
  <c r="C60" i="7"/>
  <c r="R60" i="7" s="1"/>
  <c r="M59" i="7"/>
  <c r="N59" i="7" s="1"/>
  <c r="Q59" i="7" s="1"/>
  <c r="H59" i="7"/>
  <c r="K59" i="7"/>
  <c r="J59" i="7"/>
  <c r="C61" i="7" l="1"/>
  <c r="M60" i="7"/>
  <c r="N60" i="7" s="1"/>
  <c r="Q60" i="7" s="1"/>
  <c r="H60" i="7"/>
  <c r="K60" i="7"/>
  <c r="J60" i="7"/>
  <c r="I60" i="7"/>
  <c r="K61" i="7" l="1"/>
  <c r="J61" i="7"/>
  <c r="I61" i="7"/>
  <c r="C62" i="7"/>
  <c r="M61" i="7"/>
  <c r="N61" i="7" s="1"/>
  <c r="Q61" i="7" s="1"/>
  <c r="H61" i="7"/>
  <c r="R61" i="7"/>
  <c r="J62" i="7" l="1"/>
  <c r="I62" i="7"/>
  <c r="C63" i="7"/>
  <c r="M62" i="7"/>
  <c r="N62" i="7" s="1"/>
  <c r="Q62" i="7" s="1"/>
  <c r="H62" i="7"/>
  <c r="K62" i="7"/>
  <c r="R62" i="7"/>
  <c r="R63" i="7" s="1"/>
  <c r="I63" i="7" l="1"/>
  <c r="C64" i="7"/>
  <c r="R64" i="7" s="1"/>
  <c r="M63" i="7"/>
  <c r="N63" i="7" s="1"/>
  <c r="Q63" i="7" s="1"/>
  <c r="H63" i="7"/>
  <c r="K63" i="7"/>
  <c r="J63" i="7"/>
  <c r="C65" i="7" l="1"/>
  <c r="M64" i="7"/>
  <c r="N64" i="7" s="1"/>
  <c r="Q64" i="7" s="1"/>
  <c r="H64" i="7"/>
  <c r="K64" i="7"/>
  <c r="J64" i="7"/>
  <c r="I64" i="7"/>
  <c r="K65" i="7" l="1"/>
  <c r="J65" i="7"/>
  <c r="I65" i="7"/>
  <c r="C66" i="7"/>
  <c r="M65" i="7"/>
  <c r="N65" i="7" s="1"/>
  <c r="Q65" i="7" s="1"/>
  <c r="H65" i="7"/>
  <c r="R65" i="7"/>
  <c r="R66" i="7" l="1"/>
  <c r="J66" i="7"/>
  <c r="I66" i="7"/>
  <c r="C67" i="7"/>
  <c r="M66" i="7"/>
  <c r="N66" i="7" s="1"/>
  <c r="Q66" i="7" s="1"/>
  <c r="H66" i="7"/>
  <c r="K66" i="7"/>
  <c r="R67" i="7" l="1"/>
  <c r="I67" i="7"/>
  <c r="C68" i="7"/>
  <c r="M67" i="7"/>
  <c r="N67" i="7" s="1"/>
  <c r="Q67" i="7" s="1"/>
  <c r="H67" i="7"/>
  <c r="K67" i="7"/>
  <c r="J67" i="7"/>
  <c r="R68" i="7" l="1"/>
  <c r="C69" i="7"/>
  <c r="M68" i="7"/>
  <c r="N68" i="7" s="1"/>
  <c r="Q68" i="7" s="1"/>
  <c r="H68" i="7"/>
  <c r="K68" i="7"/>
  <c r="J68" i="7"/>
  <c r="I68" i="7"/>
  <c r="K69" i="7" l="1"/>
  <c r="J69" i="7"/>
  <c r="I69" i="7"/>
  <c r="C70" i="7"/>
  <c r="M69" i="7"/>
  <c r="N69" i="7" s="1"/>
  <c r="Q69" i="7" s="1"/>
  <c r="H69" i="7"/>
  <c r="R69" i="7"/>
  <c r="R70" i="7" l="1"/>
  <c r="J70" i="7"/>
  <c r="I70" i="7"/>
  <c r="C71" i="7"/>
  <c r="M70" i="7"/>
  <c r="N70" i="7" s="1"/>
  <c r="Q70" i="7" s="1"/>
  <c r="H70" i="7"/>
  <c r="K70" i="7"/>
  <c r="R71" i="7"/>
  <c r="I71" i="7" l="1"/>
  <c r="C72" i="7"/>
  <c r="R72" i="7" s="1"/>
  <c r="M71" i="7"/>
  <c r="N71" i="7" s="1"/>
  <c r="Q71" i="7" s="1"/>
  <c r="H71" i="7"/>
  <c r="K71" i="7"/>
  <c r="J71" i="7"/>
  <c r="C73" i="7" l="1"/>
  <c r="M72" i="7"/>
  <c r="N72" i="7" s="1"/>
  <c r="Q72" i="7" s="1"/>
  <c r="H72" i="7"/>
  <c r="K72" i="7"/>
  <c r="J72" i="7"/>
  <c r="I72" i="7"/>
  <c r="K73" i="7" l="1"/>
  <c r="J73" i="7"/>
  <c r="I73" i="7"/>
  <c r="M73" i="7"/>
  <c r="N73" i="7" s="1"/>
  <c r="Q73" i="7" s="1"/>
  <c r="H73" i="7"/>
  <c r="R73" i="7"/>
  <c r="D63" i="6" l="1"/>
  <c r="L69" i="6"/>
  <c r="D28" i="6"/>
  <c r="H26" i="6"/>
  <c r="D20" i="6" s="1"/>
  <c r="F26" i="6"/>
  <c r="H32" i="6"/>
  <c r="H31" i="6"/>
  <c r="I32" i="6" l="1"/>
  <c r="I26" i="6"/>
  <c r="H30" i="6"/>
  <c r="G32" i="6"/>
  <c r="F32" i="6"/>
  <c r="G31" i="6"/>
  <c r="F31" i="6"/>
  <c r="G30" i="6"/>
  <c r="F30" i="6"/>
  <c r="H29" i="6"/>
  <c r="G29" i="6"/>
  <c r="F29" i="6"/>
  <c r="H28" i="6"/>
  <c r="G28" i="6"/>
  <c r="F28" i="6"/>
  <c r="L29" i="6" s="1"/>
  <c r="H27" i="6"/>
  <c r="I27" i="6" s="1"/>
  <c r="G27" i="6"/>
  <c r="F27" i="6"/>
  <c r="G26" i="6"/>
  <c r="H68" i="6"/>
  <c r="D33" i="6"/>
  <c r="D75" i="6"/>
  <c r="L74" i="6"/>
  <c r="M74" i="6" s="1"/>
  <c r="K74" i="6"/>
  <c r="J74" i="6"/>
  <c r="I74" i="6"/>
  <c r="H74" i="6"/>
  <c r="K73" i="6"/>
  <c r="J73" i="6"/>
  <c r="I73" i="6"/>
  <c r="H73" i="6"/>
  <c r="L72" i="6"/>
  <c r="K72" i="6"/>
  <c r="I107" i="6" s="1"/>
  <c r="J72" i="6"/>
  <c r="H107" i="6" s="1"/>
  <c r="I72" i="6"/>
  <c r="I106" i="6" s="1"/>
  <c r="H72" i="6"/>
  <c r="H106" i="6" s="1"/>
  <c r="L71" i="6"/>
  <c r="K71" i="6"/>
  <c r="I99" i="6" s="1"/>
  <c r="J71" i="6"/>
  <c r="H99" i="6" s="1"/>
  <c r="I71" i="6"/>
  <c r="I98" i="6" s="1"/>
  <c r="H71" i="6"/>
  <c r="H98" i="6" s="1"/>
  <c r="K70" i="6"/>
  <c r="J70" i="6"/>
  <c r="I70" i="6"/>
  <c r="H70" i="6"/>
  <c r="K69" i="6"/>
  <c r="J69" i="6"/>
  <c r="I69" i="6"/>
  <c r="M68" i="6"/>
  <c r="K68" i="6"/>
  <c r="J68" i="6"/>
  <c r="I68" i="6"/>
  <c r="L76" i="6" l="1"/>
  <c r="P102" i="6"/>
  <c r="Q102" i="6" s="1"/>
  <c r="N102" i="6"/>
  <c r="O102" i="6" s="1"/>
  <c r="R102" i="6"/>
  <c r="S102" i="6" s="1"/>
  <c r="H92" i="6"/>
  <c r="H93" i="6"/>
  <c r="I92" i="6"/>
  <c r="I93" i="6"/>
  <c r="Y80" i="6"/>
  <c r="L98" i="6"/>
  <c r="H34" i="6"/>
  <c r="L106" i="6"/>
  <c r="I108" i="6"/>
  <c r="J107" i="6"/>
  <c r="J106" i="6"/>
  <c r="J108" i="6"/>
  <c r="H108" i="6"/>
  <c r="I100" i="6"/>
  <c r="J100" i="6"/>
  <c r="J99" i="6"/>
  <c r="J98" i="6"/>
  <c r="H100" i="6"/>
  <c r="P71" i="6"/>
  <c r="M73" i="6"/>
  <c r="H33" i="6"/>
  <c r="L75" i="6"/>
  <c r="L77" i="6" s="1"/>
  <c r="I29" i="6"/>
  <c r="I30" i="6"/>
  <c r="I28" i="6"/>
  <c r="I31" i="6"/>
  <c r="M69" i="6"/>
  <c r="M71" i="6"/>
  <c r="M70" i="6"/>
  <c r="M72" i="6"/>
  <c r="L92" i="6" l="1"/>
  <c r="H35" i="6"/>
  <c r="I94" i="6"/>
  <c r="J93" i="6"/>
  <c r="J92" i="6"/>
  <c r="J94" i="6"/>
  <c r="H94" i="6"/>
  <c r="S16" i="5"/>
  <c r="J16" i="5"/>
  <c r="H16" i="5"/>
  <c r="F16" i="5"/>
  <c r="S15" i="5"/>
  <c r="J15" i="5"/>
  <c r="H15" i="5"/>
  <c r="F15" i="5"/>
  <c r="S14" i="5"/>
  <c r="J14" i="5"/>
  <c r="H14" i="5"/>
  <c r="F14" i="5"/>
  <c r="S13" i="5"/>
  <c r="J13" i="5"/>
  <c r="H13" i="5"/>
  <c r="F13" i="5"/>
  <c r="C13" i="5"/>
  <c r="S12" i="5"/>
  <c r="J12" i="5"/>
  <c r="H12" i="5"/>
  <c r="F12" i="5"/>
  <c r="C12" i="5"/>
  <c r="S11" i="5"/>
  <c r="J11" i="5"/>
  <c r="H11" i="5"/>
  <c r="F11" i="5"/>
  <c r="C11" i="5"/>
  <c r="S10" i="5"/>
  <c r="J10" i="5"/>
  <c r="H10" i="5"/>
  <c r="F10" i="5"/>
  <c r="C10" i="5"/>
  <c r="S9" i="5"/>
  <c r="J9" i="5"/>
  <c r="H9" i="5"/>
  <c r="F9" i="5"/>
  <c r="S8" i="5"/>
  <c r="J8" i="5"/>
  <c r="H8" i="5"/>
  <c r="F8" i="5"/>
  <c r="S7" i="5"/>
  <c r="J7" i="5"/>
  <c r="H7" i="5"/>
  <c r="F7" i="5"/>
  <c r="I7" i="5" l="1"/>
  <c r="K7" i="5" s="1"/>
  <c r="L7" i="5" s="1"/>
  <c r="I13" i="5"/>
  <c r="K13" i="5" s="1"/>
  <c r="C18" i="5"/>
  <c r="C16" i="5"/>
  <c r="I9" i="5"/>
  <c r="K9" i="5" s="1"/>
  <c r="L9" i="5" s="1"/>
  <c r="O9" i="5" s="1"/>
  <c r="I10" i="5"/>
  <c r="K10" i="5" s="1"/>
  <c r="I11" i="5"/>
  <c r="K11" i="5" s="1"/>
  <c r="I12" i="5"/>
  <c r="K12" i="5" s="1"/>
  <c r="C14" i="5"/>
  <c r="D14" i="5" s="1"/>
  <c r="C15" i="5"/>
  <c r="D15" i="5" s="1"/>
  <c r="I8" i="5"/>
  <c r="K8" i="5" s="1"/>
  <c r="L8" i="5" s="1"/>
  <c r="O8" i="5" s="1"/>
  <c r="L13" i="5" l="1"/>
  <c r="O13" i="5" s="1"/>
  <c r="L12" i="5"/>
  <c r="O12" i="5" s="1"/>
  <c r="O7" i="5"/>
  <c r="L11" i="5"/>
  <c r="L10" i="5"/>
  <c r="I15" i="5"/>
  <c r="K15" i="5" s="1"/>
  <c r="M15" i="5" s="1"/>
  <c r="I16" i="5"/>
  <c r="K16" i="5" s="1"/>
  <c r="I14" i="5"/>
  <c r="K14" i="5" s="1"/>
  <c r="M14" i="5" s="1"/>
  <c r="D16" i="5"/>
  <c r="P15" i="5" l="1"/>
  <c r="O11" i="5"/>
  <c r="L16" i="5"/>
  <c r="O16" i="5" s="1"/>
  <c r="D13" i="5"/>
  <c r="E13" i="5" s="1"/>
  <c r="N13" i="5" s="1"/>
  <c r="Q13" i="5" s="1"/>
  <c r="D12" i="5"/>
  <c r="D11" i="5"/>
  <c r="E11" i="5" s="1"/>
  <c r="N11" i="5" s="1"/>
  <c r="D10" i="5"/>
  <c r="M16" i="5"/>
  <c r="P16" i="5" s="1"/>
  <c r="O10" i="5"/>
  <c r="L15" i="5"/>
  <c r="O15" i="5" s="1"/>
  <c r="L14" i="5"/>
  <c r="O14" i="5" s="1"/>
  <c r="L18" i="5"/>
  <c r="E10" i="5" l="1"/>
  <c r="D18" i="5"/>
  <c r="P14" i="5"/>
  <c r="M13" i="5"/>
  <c r="P13" i="5" s="1"/>
  <c r="R13" i="5" s="1"/>
  <c r="U20" i="5" s="1"/>
  <c r="M12" i="5"/>
  <c r="M11" i="5"/>
  <c r="P11" i="5" s="1"/>
  <c r="M10" i="5"/>
  <c r="E12" i="5"/>
  <c r="D9" i="5"/>
  <c r="E16" i="5"/>
  <c r="O18" i="5"/>
  <c r="D7" i="5"/>
  <c r="D8" i="5"/>
  <c r="M7" i="5" l="1"/>
  <c r="P7" i="5" s="1"/>
  <c r="M18" i="5"/>
  <c r="M8" i="5"/>
  <c r="P8" i="5" s="1"/>
  <c r="P10" i="5"/>
  <c r="P12" i="5"/>
  <c r="M9" i="5"/>
  <c r="P9" i="5" s="1"/>
  <c r="E8" i="5"/>
  <c r="E18" i="5"/>
  <c r="E15" i="5"/>
  <c r="E14" i="5"/>
  <c r="N10" i="5"/>
  <c r="E7" i="5"/>
  <c r="N16" i="5"/>
  <c r="Q16" i="5" s="1"/>
  <c r="R16" i="5" s="1"/>
  <c r="Q11" i="5"/>
  <c r="R11" i="5" s="1"/>
  <c r="S20" i="5" s="1"/>
  <c r="N12" i="5"/>
  <c r="E9" i="5"/>
  <c r="N9" i="5" l="1"/>
  <c r="Q9" i="5" s="1"/>
  <c r="R9" i="5" s="1"/>
  <c r="Q12" i="5"/>
  <c r="R12" i="5" s="1"/>
  <c r="T20" i="5" s="1"/>
  <c r="N18" i="5"/>
  <c r="N8" i="5"/>
  <c r="Q8" i="5" s="1"/>
  <c r="R8" i="5" s="1"/>
  <c r="N7" i="5"/>
  <c r="Q7" i="5" s="1"/>
  <c r="R7" i="5" s="1"/>
  <c r="N15" i="5"/>
  <c r="Q15" i="5" s="1"/>
  <c r="R15" i="5" s="1"/>
  <c r="N14" i="5"/>
  <c r="Q14" i="5" s="1"/>
  <c r="R14" i="5" s="1"/>
  <c r="Q10" i="5"/>
  <c r="P18" i="5"/>
  <c r="Q18" i="5" l="1"/>
  <c r="R10" i="5"/>
  <c r="R20" i="5" s="1"/>
  <c r="H13" i="9" l="1"/>
  <c r="I13" i="9"/>
  <c r="J13" i="9" l="1"/>
  <c r="J14" i="9"/>
  <c r="N14" i="9"/>
  <c r="M13" i="9" l="1"/>
  <c r="M34" i="9" s="1"/>
  <c r="J36" i="9"/>
  <c r="J30" i="9"/>
  <c r="J31" i="9" s="1"/>
  <c r="J37" i="9" l="1"/>
  <c r="E29" i="11"/>
  <c r="F29" i="11"/>
  <c r="G29" i="11" s="1"/>
  <c r="I29" i="11"/>
  <c r="M29" i="11" s="1"/>
  <c r="O29" i="11" s="1"/>
  <c r="L29" i="11"/>
  <c r="P29" i="11" s="1"/>
  <c r="Q29" i="11" l="1"/>
  <c r="L73" i="15"/>
  <c r="F72" i="15"/>
  <c r="D74" i="15"/>
  <c r="L72" i="15"/>
  <c r="K72" i="15"/>
  <c r="K73" i="15"/>
  <c r="M72" i="15" l="1"/>
  <c r="N72" i="15" s="1"/>
  <c r="M73" i="15"/>
  <c r="N73" i="15" s="1"/>
  <c r="K74" i="15"/>
  <c r="N74" i="15" s="1"/>
  <c r="M71" i="15"/>
  <c r="N71" i="15" s="1"/>
  <c r="L74" i="15"/>
  <c r="K23" i="25"/>
  <c r="I23" i="25" l="1"/>
  <c r="C24" i="25" s="1"/>
  <c r="S24" i="25"/>
  <c r="S28" i="25"/>
  <c r="W28" i="25" s="1"/>
  <c r="Y28" i="25" s="1"/>
  <c r="S23" i="25"/>
  <c r="J23" i="25"/>
  <c r="S30" i="25"/>
  <c r="W30" i="25" s="1"/>
  <c r="Y30" i="25" s="1"/>
  <c r="L23" i="25"/>
  <c r="N23" i="25" s="1"/>
  <c r="P23" i="25"/>
  <c r="Q23" i="25" s="1"/>
  <c r="U23" i="25" s="1"/>
  <c r="M23" i="25" l="1"/>
  <c r="S27" i="25"/>
  <c r="W27" i="25" s="1"/>
  <c r="AF29" i="25"/>
  <c r="AK29" i="25" s="1"/>
  <c r="O23" i="25"/>
  <c r="S25" i="25"/>
  <c r="S33" i="25"/>
  <c r="W33" i="25" s="1"/>
  <c r="S29" i="25"/>
  <c r="W29" i="25" s="1"/>
  <c r="S36" i="25"/>
  <c r="W36" i="25" s="1"/>
  <c r="W23" i="25"/>
  <c r="X23" i="25"/>
  <c r="Z23" i="25" l="1"/>
  <c r="Y23" i="25"/>
  <c r="AA23" i="25" l="1"/>
  <c r="AC48" i="25" s="1"/>
  <c r="AC47" i="25"/>
  <c r="H24" i="25" l="1"/>
  <c r="T33" i="25" l="1"/>
  <c r="X33" i="25" s="1"/>
  <c r="Y33" i="25" s="1"/>
  <c r="T29" i="25"/>
  <c r="X29" i="25" s="1"/>
  <c r="Y29" i="25" s="1"/>
  <c r="AI29" i="25"/>
  <c r="AN29" i="25" s="1"/>
  <c r="AK31" i="25" s="1"/>
  <c r="L24" i="25"/>
  <c r="K24" i="25"/>
  <c r="T25" i="25"/>
  <c r="T36" i="25"/>
  <c r="X36" i="25" s="1"/>
  <c r="Y36" i="25" s="1"/>
  <c r="J24" i="25"/>
  <c r="O24" i="25" s="1"/>
  <c r="P24" i="25"/>
  <c r="Q25" i="25" s="1"/>
  <c r="U25" i="25" s="1"/>
  <c r="W25" i="25" s="1"/>
  <c r="T24" i="25"/>
  <c r="I24" i="25"/>
  <c r="T27" i="25"/>
  <c r="X27" i="25" s="1"/>
  <c r="Y27" i="25" s="1"/>
  <c r="Q24" i="25" l="1"/>
  <c r="U24" i="25" s="1"/>
  <c r="X24" i="25" s="1"/>
  <c r="M24" i="25"/>
  <c r="N24" i="25"/>
  <c r="X25" i="25"/>
  <c r="Y25" i="25" s="1"/>
  <c r="AF31" i="25"/>
  <c r="AB27" i="25"/>
  <c r="AK32" i="25" s="1"/>
  <c r="W24" i="25" l="1"/>
  <c r="Y24" i="25" s="1"/>
  <c r="Z24" i="25"/>
  <c r="AA24" i="25" s="1"/>
  <c r="AB24" i="25"/>
  <c r="AF32" i="25"/>
  <c r="B21" i="25" s="1"/>
  <c r="AD31" i="29" l="1"/>
  <c r="AE32" i="29" s="1"/>
  <c r="AJ31" i="29"/>
  <c r="AO31" i="29" s="1"/>
  <c r="AC31" i="29"/>
  <c r="AE31" i="29" l="1"/>
  <c r="AH31" i="29" s="1"/>
  <c r="AI21" i="29" s="1"/>
  <c r="AI19" i="29" s="1"/>
  <c r="AB31" i="29"/>
  <c r="AA31" i="29"/>
  <c r="AS31" i="29" l="1"/>
  <c r="AT31" i="29" s="1"/>
  <c r="AU31" i="29" s="1"/>
  <c r="AV31" i="29" s="1"/>
  <c r="AR31" i="29" l="1"/>
  <c r="E60" i="34" l="1"/>
  <c r="ET60" i="34" s="1"/>
  <c r="CO60" i="34"/>
  <c r="ID60" i="34" s="1"/>
  <c r="AC60" i="34"/>
  <c r="FR60" i="34" s="1"/>
  <c r="BY60" i="34"/>
  <c r="HN60" i="34" s="1"/>
  <c r="BI60" i="34"/>
  <c r="GX60" i="34" s="1"/>
  <c r="AS60" i="34"/>
  <c r="GH60" i="34" s="1"/>
  <c r="BA60" i="34"/>
  <c r="GP60" i="34" s="1"/>
  <c r="M60" i="34"/>
  <c r="FB60" i="34" s="1"/>
  <c r="DE60" i="34"/>
  <c r="IT60" i="34" s="1"/>
  <c r="CG60" i="34"/>
  <c r="HV60" i="34" s="1"/>
  <c r="U60" i="34"/>
  <c r="FJ60" i="34"/>
  <c r="AK60" i="34"/>
  <c r="FZ60" i="34" s="1"/>
  <c r="CW60" i="34"/>
  <c r="IL60" i="34" s="1"/>
  <c r="BQ60" i="34"/>
  <c r="HF60" i="34" s="1"/>
  <c r="DM60" i="34"/>
  <c r="JB60" i="34" s="1"/>
  <c r="CI60" i="34"/>
  <c r="HX60" i="34" s="1"/>
  <c r="AR60" i="34"/>
  <c r="GG60" i="34" s="1"/>
  <c r="DI60" i="34"/>
  <c r="IX60" i="34" s="1"/>
  <c r="CT60" i="34"/>
  <c r="II60" i="34" s="1"/>
  <c r="DA60" i="34"/>
  <c r="IP60" i="34" s="1"/>
  <c r="AN60" i="34"/>
  <c r="GC60" i="34" s="1"/>
  <c r="BN60" i="34"/>
  <c r="HC60" i="34" s="1"/>
  <c r="AA60" i="34"/>
  <c r="FP60" i="34" s="1"/>
  <c r="BT60" i="34"/>
  <c r="HI60" i="34" s="1"/>
  <c r="AD60" i="34"/>
  <c r="FS60" i="34" s="1"/>
  <c r="CU60" i="34"/>
  <c r="IJ60" i="34" s="1"/>
  <c r="CR60" i="34"/>
  <c r="IG60" i="34" s="1"/>
  <c r="CK60" i="34"/>
  <c r="HZ60" i="34" s="1"/>
  <c r="DN60" i="34"/>
  <c r="JC60" i="34" s="1"/>
  <c r="S60" i="34"/>
  <c r="FH60" i="34" s="1"/>
  <c r="BK60" i="34"/>
  <c r="GZ60" i="34" s="1"/>
  <c r="G60" i="34"/>
  <c r="EV60" i="34" s="1"/>
  <c r="BB60" i="34"/>
  <c r="GQ60" i="34" s="1"/>
  <c r="DC60" i="34"/>
  <c r="IR60" i="34" s="1"/>
  <c r="T60" i="34"/>
  <c r="FI60" i="34" s="1"/>
  <c r="CE60" i="34"/>
  <c r="HT60" i="34" s="1"/>
  <c r="BD60" i="34"/>
  <c r="GS60" i="34" s="1"/>
  <c r="DK60" i="34"/>
  <c r="IZ60" i="34" s="1"/>
  <c r="J60" i="34"/>
  <c r="EY60" i="34" s="1"/>
  <c r="AL60" i="34"/>
  <c r="GA60" i="34" s="1"/>
  <c r="CB60" i="34"/>
  <c r="HQ60" i="34" s="1"/>
  <c r="AB60" i="34"/>
  <c r="FQ60" i="34" s="1"/>
  <c r="AW60" i="34"/>
  <c r="GL60" i="34" s="1"/>
  <c r="DL60" i="34"/>
  <c r="JA60" i="34" s="1"/>
  <c r="BS60" i="34"/>
  <c r="HH60" i="34" s="1"/>
  <c r="CC60" i="34"/>
  <c r="HR60" i="34" s="1"/>
  <c r="DB60" i="34"/>
  <c r="IQ60" i="34" s="1"/>
  <c r="H60" i="34"/>
  <c r="EW60" i="34" s="1"/>
  <c r="BV60" i="34"/>
  <c r="HK60" i="34" s="1"/>
  <c r="BH60" i="34"/>
  <c r="GW60" i="34" s="1"/>
  <c r="DH60" i="34"/>
  <c r="IW60" i="34" s="1"/>
  <c r="CX60" i="34"/>
  <c r="IM60" i="34" s="1"/>
  <c r="CL60" i="34"/>
  <c r="IA60" i="34" s="1"/>
  <c r="K60" i="34"/>
  <c r="EZ60" i="34" s="1"/>
  <c r="BO60" i="34"/>
  <c r="HD60" i="34" s="1"/>
  <c r="Y60" i="34"/>
  <c r="FN60" i="34" s="1"/>
  <c r="CA60" i="34"/>
  <c r="HP60" i="34" s="1"/>
  <c r="AX60" i="34"/>
  <c r="GM60" i="34" s="1"/>
  <c r="AH60" i="34"/>
  <c r="FW60" i="34" s="1"/>
  <c r="AZ60" i="34"/>
  <c r="GO60" i="34" s="1"/>
  <c r="AG60" i="34"/>
  <c r="FV60" i="34" s="1"/>
  <c r="BL60" i="34"/>
  <c r="HA60" i="34" s="1"/>
  <c r="CD60" i="34"/>
  <c r="HS60" i="34" s="1"/>
  <c r="Q60" i="34"/>
  <c r="FF60" i="34" s="1"/>
  <c r="CV60" i="34"/>
  <c r="IK60" i="34" s="1"/>
  <c r="O60" i="34"/>
  <c r="FD60" i="34" s="1"/>
  <c r="BR60" i="34"/>
  <c r="HG60" i="34" s="1"/>
  <c r="AJ60" i="34"/>
  <c r="FY60" i="34" s="1"/>
  <c r="CF60" i="34"/>
  <c r="HU60" i="34" s="1"/>
  <c r="AQ60" i="34"/>
  <c r="GF60" i="34" s="1"/>
  <c r="BU60" i="34"/>
  <c r="HJ60" i="34" s="1"/>
  <c r="DD60" i="34"/>
  <c r="IS60" i="34" s="1"/>
  <c r="BJ60" i="34"/>
  <c r="GY60" i="34" s="1"/>
  <c r="AE60" i="34"/>
  <c r="FT60" i="34" s="1"/>
  <c r="BC60" i="34"/>
  <c r="GR60" i="34" s="1"/>
  <c r="BW60" i="34"/>
  <c r="HL60" i="34" s="1"/>
  <c r="DF60" i="34"/>
  <c r="IU60" i="34" s="1"/>
  <c r="L60" i="34"/>
  <c r="FA60" i="34" s="1"/>
  <c r="BG60" i="34"/>
  <c r="GV60" i="34" s="1"/>
  <c r="P60" i="34"/>
  <c r="FE60" i="34" s="1"/>
  <c r="BE60" i="34"/>
  <c r="GT60" i="34" s="1"/>
  <c r="BZ60" i="34"/>
  <c r="HO60" i="34" s="1"/>
  <c r="X60" i="34"/>
  <c r="FM60" i="34" s="1"/>
  <c r="DG60" i="34"/>
  <c r="IV60" i="34" s="1"/>
  <c r="CN60" i="34"/>
  <c r="IC60" i="34" s="1"/>
  <c r="CY60" i="34"/>
  <c r="IN60" i="34" s="1"/>
  <c r="AI60" i="34"/>
  <c r="FX60" i="34" s="1"/>
  <c r="AO60" i="34"/>
  <c r="GD60" i="34" s="1"/>
  <c r="BF60" i="34"/>
  <c r="GU60" i="34" s="1"/>
  <c r="AY60" i="34"/>
  <c r="GN60" i="34" s="1"/>
  <c r="CP60" i="34"/>
  <c r="IE60" i="34" s="1"/>
  <c r="N60" i="34"/>
  <c r="FC60" i="34" s="1"/>
  <c r="CM60" i="34"/>
  <c r="IB60" i="34" s="1"/>
  <c r="AM60" i="34"/>
  <c r="GB60" i="34" s="1"/>
  <c r="CZ60" i="34"/>
  <c r="IO60" i="34" s="1"/>
  <c r="BP60" i="34"/>
  <c r="HE60" i="34" s="1"/>
  <c r="AU60" i="34"/>
  <c r="GJ60" i="34" s="1"/>
  <c r="DJ60" i="34"/>
  <c r="IY60" i="34" s="1"/>
  <c r="AP60" i="34"/>
  <c r="GE60" i="34" s="1"/>
  <c r="AV60" i="34"/>
  <c r="GK60" i="34" s="1"/>
  <c r="V60" i="34"/>
  <c r="FK60" i="34" s="1"/>
  <c r="CQ60" i="34"/>
  <c r="IF60" i="34" s="1"/>
  <c r="BX60" i="34"/>
  <c r="HM60" i="34" s="1"/>
  <c r="CS60" i="34"/>
  <c r="IH60" i="34" s="1"/>
  <c r="AT60" i="34"/>
  <c r="GI60" i="34" s="1"/>
  <c r="CJ60" i="34"/>
  <c r="HY60" i="34" s="1"/>
  <c r="AF60" i="34"/>
  <c r="FU60" i="34" s="1"/>
  <c r="W60" i="34"/>
  <c r="FL60" i="34" s="1"/>
  <c r="Z60" i="34"/>
  <c r="FO60" i="34" s="1"/>
  <c r="I60" i="34"/>
  <c r="EX60" i="34" s="1"/>
  <c r="BM60" i="34"/>
  <c r="HB60" i="34" s="1"/>
  <c r="CH60" i="34"/>
  <c r="HW60" i="34" s="1"/>
  <c r="R60" i="34"/>
  <c r="FG60" i="34" s="1"/>
  <c r="F60" i="34"/>
  <c r="EU60" i="34" s="1"/>
  <c r="KH60" i="34" l="1"/>
  <c r="OS60" i="34" s="1"/>
  <c r="MB60" i="34" l="1"/>
  <c r="MV60" i="34"/>
  <c r="LK60" i="34"/>
  <c r="OV60" i="34"/>
  <c r="LA60" i="34"/>
  <c r="NN60" i="34"/>
  <c r="MU60" i="34"/>
  <c r="NB60" i="34"/>
  <c r="MF60" i="34"/>
  <c r="LW60" i="34"/>
  <c r="LU60" i="34"/>
  <c r="NV60" i="34"/>
  <c r="OD60" i="34"/>
  <c r="KY60" i="34"/>
  <c r="LD60" i="34"/>
  <c r="ME60" i="34"/>
  <c r="NZ60" i="34"/>
  <c r="OG60" i="34"/>
  <c r="LO60" i="34"/>
  <c r="OU60" i="34"/>
  <c r="KS60" i="34"/>
  <c r="LY60" i="34"/>
  <c r="MJ60" i="34"/>
  <c r="KQ60" i="34"/>
  <c r="LT60" i="34"/>
  <c r="OP60" i="34"/>
  <c r="MP60" i="34"/>
  <c r="NU60" i="34"/>
  <c r="KZ60" i="34"/>
  <c r="ON60" i="34"/>
  <c r="KR60" i="34"/>
  <c r="MZ60" i="34"/>
  <c r="MS60" i="34"/>
  <c r="NQ60" i="34"/>
  <c r="KX60" i="34"/>
  <c r="NY60" i="34"/>
  <c r="LN60" i="34"/>
  <c r="PH60" i="34"/>
  <c r="PI60" i="34"/>
  <c r="OY60" i="34"/>
  <c r="PQ60" i="34"/>
  <c r="PL60" i="34"/>
  <c r="PY60" i="34"/>
  <c r="PE60" i="34"/>
  <c r="OT60" i="34"/>
  <c r="KV60" i="34"/>
  <c r="LE60" i="34"/>
  <c r="PZ60" i="34"/>
  <c r="PS60" i="34"/>
  <c r="PV60" i="34"/>
  <c r="PC60" i="34"/>
  <c r="PM60" i="34"/>
  <c r="PA60" i="34"/>
  <c r="PW60" i="34"/>
  <c r="OO60" i="34"/>
  <c r="PG60" i="34"/>
  <c r="KJ60" i="34"/>
  <c r="PT60" i="34"/>
  <c r="OX60" i="34"/>
  <c r="PP60" i="34"/>
  <c r="PX60" i="34"/>
  <c r="PJ60" i="34"/>
  <c r="KN60" i="34"/>
  <c r="PK60" i="34"/>
  <c r="PN60" i="34"/>
  <c r="OF60" i="34"/>
  <c r="PF60" i="34"/>
  <c r="LC60" i="34"/>
  <c r="OI60" i="34"/>
  <c r="NS60" i="34"/>
  <c r="NM60" i="34"/>
  <c r="MH60" i="34"/>
  <c r="LR60" i="34"/>
  <c r="NE60" i="34"/>
  <c r="MD60" i="34"/>
  <c r="NP60" i="34"/>
  <c r="PO60" i="34"/>
  <c r="PU60" i="34"/>
  <c r="PD60" i="34"/>
  <c r="OW60" i="34"/>
  <c r="OZ60" i="34"/>
  <c r="PR60" i="34"/>
  <c r="PB60" i="34"/>
  <c r="LH60" i="34"/>
  <c r="MN60" i="34"/>
  <c r="OJ60" i="34"/>
  <c r="OC60" i="34"/>
  <c r="MG60" i="34"/>
  <c r="LQ60" i="34"/>
  <c r="MW60" i="34"/>
  <c r="ND60" i="34"/>
  <c r="NJ60" i="34"/>
  <c r="NX60" i="34"/>
  <c r="KM60" i="34"/>
  <c r="MI60" i="34"/>
  <c r="NW60" i="34"/>
  <c r="MY60" i="34"/>
  <c r="KO60" i="34"/>
  <c r="NF60" i="34"/>
  <c r="LP60" i="34"/>
  <c r="OK60" i="34"/>
  <c r="NO60" i="34"/>
  <c r="MM60" i="34"/>
  <c r="LM60" i="34"/>
  <c r="LG60" i="34"/>
  <c r="LX60" i="34"/>
  <c r="NL60" i="34"/>
  <c r="MX60" i="34"/>
  <c r="NG60" i="34"/>
  <c r="LS60" i="34"/>
  <c r="OL60" i="34"/>
  <c r="MR60" i="34"/>
  <c r="KU60" i="34"/>
  <c r="MT60" i="34"/>
  <c r="OB60" i="34"/>
  <c r="MK60" i="34"/>
  <c r="MO60" i="34"/>
  <c r="LJ60" i="34"/>
  <c r="NR60" i="34"/>
  <c r="LV60" i="34"/>
  <c r="MQ60" i="34"/>
  <c r="MC60" i="34"/>
  <c r="OR60" i="34"/>
  <c r="NA60" i="34"/>
  <c r="OA60" i="34"/>
  <c r="MA60" i="34"/>
  <c r="LB60" i="34"/>
  <c r="OM60" i="34"/>
  <c r="KW60" i="34"/>
  <c r="NI60" i="34"/>
  <c r="NK60" i="34"/>
  <c r="OQ60" i="34"/>
  <c r="NH60" i="34"/>
  <c r="KT60" i="34"/>
  <c r="OE60" i="34"/>
  <c r="LF60" i="34"/>
  <c r="LL60" i="34"/>
  <c r="LI60" i="34"/>
  <c r="OH60" i="34"/>
  <c r="KP60" i="34"/>
  <c r="ML60" i="34"/>
  <c r="NT60" i="34"/>
  <c r="LZ60" i="34"/>
  <c r="NC60" i="34"/>
  <c r="AI143" i="34" l="1"/>
  <c r="RD60" i="34"/>
  <c r="RF60" i="34"/>
  <c r="RC60" i="34"/>
  <c r="QV60" i="34"/>
  <c r="SA60" i="34"/>
  <c r="SK60" i="34"/>
  <c r="RQ60" i="34"/>
  <c r="RJ60" i="34"/>
  <c r="RI60" i="34"/>
  <c r="RH60" i="34"/>
  <c r="RU60" i="34"/>
  <c r="QZ60" i="34"/>
  <c r="SO60" i="34"/>
  <c r="SE60" i="34"/>
  <c r="RK60" i="34"/>
  <c r="RP60" i="34"/>
  <c r="SJ60" i="34"/>
  <c r="RZ60" i="34"/>
  <c r="QD60" i="34"/>
  <c r="QU60" i="34"/>
  <c r="KK60" i="34"/>
  <c r="AI139" i="34" s="1"/>
  <c r="KK61" i="34"/>
  <c r="QR60" i="34"/>
  <c r="QI60" i="34"/>
  <c r="QC60" i="34"/>
  <c r="SG60" i="34"/>
  <c r="QN60" i="34"/>
  <c r="RW60" i="34"/>
  <c r="QO60" i="34"/>
  <c r="QL60" i="34"/>
  <c r="QF60" i="34"/>
  <c r="QJ60" i="34"/>
  <c r="QM60" i="34"/>
  <c r="RM60" i="34"/>
  <c r="QK60" i="34"/>
  <c r="QP60" i="34"/>
  <c r="RG60" i="34"/>
  <c r="QX60" i="34"/>
  <c r="SC60" i="34"/>
  <c r="QE60" i="34"/>
  <c r="SM60" i="34"/>
  <c r="RS60" i="34"/>
  <c r="RE60" i="34"/>
  <c r="RY60" i="34"/>
  <c r="QT60" i="34"/>
  <c r="SI60" i="34"/>
  <c r="QH60" i="34"/>
  <c r="RO60" i="34"/>
  <c r="RR60" i="34"/>
  <c r="SB60" i="34"/>
  <c r="SL60" i="34"/>
  <c r="QW60" i="34"/>
  <c r="QS60" i="34"/>
  <c r="RX60" i="34"/>
  <c r="QG60" i="34"/>
  <c r="RN60" i="34"/>
  <c r="SH60" i="34"/>
  <c r="QY60" i="34"/>
  <c r="SD60" i="34"/>
  <c r="SN60" i="34"/>
  <c r="RT60" i="34"/>
  <c r="AL149" i="34" l="1"/>
  <c r="AG139" i="34" s="1"/>
  <c r="AU147" i="34"/>
  <c r="UC60" i="34"/>
  <c r="V156" i="34" s="1"/>
  <c r="L164" i="34" s="1"/>
  <c r="SU60" i="34"/>
  <c r="R153" i="34" s="1"/>
  <c r="I155" i="34" s="1"/>
  <c r="TC60" i="34"/>
  <c r="P154" i="34" s="1"/>
  <c r="F162" i="34" s="1"/>
  <c r="TD60" i="34"/>
  <c r="Q154" i="34" s="1"/>
  <c r="F168" i="34" s="1"/>
  <c r="TR60" i="34"/>
  <c r="U155" i="34" s="1"/>
  <c r="L157" i="34" s="1"/>
  <c r="AI146" i="34"/>
  <c r="AK146" i="34" s="1"/>
  <c r="QL89" i="34"/>
  <c r="QL118" i="34" s="1"/>
  <c r="SV60" i="34"/>
  <c r="S153" i="34" s="1"/>
  <c r="I161" i="34" s="1"/>
  <c r="TY60" i="34"/>
  <c r="R156" i="34" s="1"/>
  <c r="I158" i="34" s="1"/>
  <c r="TN60" i="34"/>
  <c r="Q155" i="34" s="1"/>
  <c r="F169" i="34" s="1"/>
  <c r="TH60" i="34"/>
  <c r="U154" i="34" s="1"/>
  <c r="L156" i="34" s="1"/>
  <c r="QN89" i="34"/>
  <c r="QN118" i="34" s="1"/>
  <c r="SX60" i="34"/>
  <c r="U153" i="34" s="1"/>
  <c r="L155" i="34" s="1"/>
  <c r="TE60" i="34"/>
  <c r="R154" i="34" s="1"/>
  <c r="I156" i="34" s="1"/>
  <c r="SZ60" i="34"/>
  <c r="W153" i="34" s="1"/>
  <c r="L167" i="34" s="1"/>
  <c r="TF60" i="34"/>
  <c r="S154" i="34" s="1"/>
  <c r="I162" i="34" s="1"/>
  <c r="SS60" i="34"/>
  <c r="P153" i="34" s="1"/>
  <c r="F161" i="34" s="1"/>
  <c r="TT60" i="34"/>
  <c r="W155" i="34" s="1"/>
  <c r="L169" i="34" s="1"/>
  <c r="TZ60" i="34"/>
  <c r="S156" i="34" s="1"/>
  <c r="I164" i="34" s="1"/>
  <c r="QP89" i="34"/>
  <c r="QP118" i="34" s="1"/>
  <c r="UD60" i="34"/>
  <c r="W156" i="34" s="1"/>
  <c r="L170" i="34" s="1"/>
  <c r="TP60" i="34"/>
  <c r="S155" i="34" s="1"/>
  <c r="I163" i="34" s="1"/>
  <c r="TJ60" i="34"/>
  <c r="W154" i="34" s="1"/>
  <c r="L168" i="34" s="1"/>
  <c r="AE133" i="34" s="1"/>
  <c r="QE89" i="34"/>
  <c r="QE118" i="34" s="1"/>
  <c r="TO60" i="34"/>
  <c r="R155" i="34" s="1"/>
  <c r="I157" i="34" s="1"/>
  <c r="QJ89" i="34"/>
  <c r="QJ118" i="34" s="1"/>
  <c r="SY60" i="34"/>
  <c r="V153" i="34" s="1"/>
  <c r="L161" i="34" s="1"/>
  <c r="TM60" i="34"/>
  <c r="P155" i="34" s="1"/>
  <c r="F163" i="34" s="1"/>
  <c r="TX60" i="34"/>
  <c r="Q156" i="34" s="1"/>
  <c r="F170" i="34" s="1"/>
  <c r="QH89" i="34"/>
  <c r="QH118" i="34" s="1"/>
  <c r="QZ89" i="34"/>
  <c r="QZ118" i="34" s="1"/>
  <c r="TI60" i="34"/>
  <c r="V154" i="34" s="1"/>
  <c r="L162" i="34" s="1"/>
  <c r="TS60" i="34"/>
  <c r="V155" i="34" s="1"/>
  <c r="L163" i="34" s="1"/>
  <c r="UA60" i="34"/>
  <c r="T156" i="34" s="1"/>
  <c r="I170" i="34" s="1"/>
  <c r="ST60" i="34"/>
  <c r="Q153" i="34" s="1"/>
  <c r="F167" i="34" s="1"/>
  <c r="TL60" i="34"/>
  <c r="O155" i="34" s="1"/>
  <c r="F157" i="34" s="1"/>
  <c r="SR60" i="34"/>
  <c r="O153" i="34" s="1"/>
  <c r="F155" i="34" s="1"/>
  <c r="TQ60" i="34"/>
  <c r="T155" i="34" s="1"/>
  <c r="I169" i="34" s="1"/>
  <c r="TW60" i="34"/>
  <c r="P156" i="34" s="1"/>
  <c r="F164" i="34" s="1"/>
  <c r="TG60" i="34"/>
  <c r="T154" i="34" s="1"/>
  <c r="I168" i="34" s="1"/>
  <c r="UB60" i="34"/>
  <c r="U156" i="34" s="1"/>
  <c r="L158" i="34" s="1"/>
  <c r="TB60" i="34"/>
  <c r="O154" i="34" s="1"/>
  <c r="F156" i="34" s="1"/>
  <c r="TV60" i="34"/>
  <c r="O156" i="34" s="1"/>
  <c r="F158" i="34" s="1"/>
  <c r="SW60" i="34"/>
  <c r="T153" i="34" s="1"/>
  <c r="I167" i="34" s="1"/>
  <c r="AR145" i="34" l="1"/>
  <c r="AT145" i="34"/>
  <c r="AK149" i="34"/>
  <c r="AG143" i="34"/>
  <c r="R168" i="34"/>
  <c r="AA136" i="34"/>
  <c r="R177" i="34"/>
  <c r="AA145" i="34"/>
  <c r="U177" i="34"/>
  <c r="AD145" i="34"/>
  <c r="U168" i="34"/>
  <c r="AD136" i="34"/>
  <c r="U170" i="34"/>
  <c r="AD138" i="34"/>
  <c r="AG133" i="34"/>
  <c r="AG136" i="34" s="1"/>
  <c r="AP145" i="34" s="1"/>
  <c r="AD143" i="34"/>
  <c r="R170" i="34"/>
  <c r="AA138" i="34"/>
  <c r="R175" i="34"/>
  <c r="AA143" i="34"/>
  <c r="U174" i="34"/>
  <c r="AD142" i="34"/>
  <c r="U169" i="34"/>
  <c r="AD137" i="34"/>
  <c r="R174" i="34"/>
  <c r="AA142" i="34"/>
  <c r="U176" i="34"/>
  <c r="AD144" i="34"/>
  <c r="R176" i="34"/>
  <c r="AA144" i="34"/>
  <c r="R171" i="34"/>
  <c r="AA139" i="34"/>
  <c r="R169" i="34"/>
  <c r="AA137" i="34"/>
  <c r="U171" i="34"/>
  <c r="AD139" i="34"/>
  <c r="U175" i="34"/>
  <c r="AU146" i="34" l="1"/>
  <c r="AT146" i="34"/>
  <c r="AR147" i="34"/>
  <c r="AT147" i="34" a="1"/>
  <c r="AT147" i="3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<sst xmlns="http://schemas.openxmlformats.org/spreadsheetml/2006/main" count="4962" uniqueCount="1294">
  <si>
    <t>Final</t>
  </si>
  <si>
    <t>Update Cost</t>
  </si>
  <si>
    <t>Yes</t>
  </si>
  <si>
    <t>No</t>
  </si>
  <si>
    <t>a</t>
  </si>
  <si>
    <t>b</t>
  </si>
  <si>
    <t>i=0,0</t>
  </si>
  <si>
    <t>i=0,1</t>
  </si>
  <si>
    <t>i=1,0</t>
  </si>
  <si>
    <t>i=1,1</t>
  </si>
  <si>
    <t>a=Yes</t>
  </si>
  <si>
    <t>a=No</t>
  </si>
  <si>
    <t>Shares</t>
  </si>
  <si>
    <t>Probability</t>
  </si>
  <si>
    <t>b|a</t>
  </si>
  <si>
    <t>a|b</t>
  </si>
  <si>
    <t>b|~a</t>
  </si>
  <si>
    <t>a|~b</t>
  </si>
  <si>
    <t>4 cases</t>
  </si>
  <si>
    <t>Side 1</t>
  </si>
  <si>
    <t>Side 2</t>
  </si>
  <si>
    <t>a &amp; b</t>
  </si>
  <si>
    <t>a &amp; ~b</t>
  </si>
  <si>
    <t>~a &amp; b</t>
  </si>
  <si>
    <t>~a &amp; ~b</t>
  </si>
  <si>
    <t>Side 3</t>
  </si>
  <si>
    <t>Old</t>
  </si>
  <si>
    <t>New</t>
  </si>
  <si>
    <t>Edit</t>
  </si>
  <si>
    <t>Net Total Adjustment</t>
  </si>
  <si>
    <t>Adj Edit</t>
  </si>
  <si>
    <t>Cat Change</t>
  </si>
  <si>
    <t>Changed</t>
  </si>
  <si>
    <t>Cat Prob</t>
  </si>
  <si>
    <t>Desc</t>
  </si>
  <si>
    <t xml:space="preserve">Update Cost
</t>
  </si>
  <si>
    <t>LMSR</t>
  </si>
  <si>
    <t>trading begins</t>
  </si>
  <si>
    <t>losers sell</t>
  </si>
  <si>
    <t>Prior (uniform)</t>
  </si>
  <si>
    <t>trading continues</t>
  </si>
  <si>
    <t>sale to recover funds today</t>
  </si>
  <si>
    <t># States</t>
  </si>
  <si>
    <t>Escrow Account Balance: enough to pay off the shareholders at p=$1</t>
  </si>
  <si>
    <t>Initial Capital Required to 'Make Market'</t>
  </si>
  <si>
    <t>Time</t>
  </si>
  <si>
    <t>S1</t>
  </si>
  <si>
    <t>S2</t>
  </si>
  <si>
    <t>S3</t>
  </si>
  <si>
    <t>S4</t>
  </si>
  <si>
    <t>p1</t>
  </si>
  <si>
    <t>p2</t>
  </si>
  <si>
    <t>p3</t>
  </si>
  <si>
    <t>p4</t>
  </si>
  <si>
    <t>P(b|a)</t>
  </si>
  <si>
    <t>From t=3 to t=4, the probability of b (column=1) remaned the same, but the marginal probability of experiencing b changed.</t>
  </si>
  <si>
    <t>From t=4 to t=5, the probability of b (column=1) changed from 43 to 34, but the marginal probability of experiencing b remained the same.</t>
  </si>
  <si>
    <t>Left over (positive, arbitrarily small)</t>
  </si>
  <si>
    <t>Some experiments to explore the 'trading additivity' of MSRs generally.</t>
  </si>
  <si>
    <t>A Calculator I threw together for solving for various probability changes….possibly a more general way to do this.</t>
  </si>
  <si>
    <t>Inputs</t>
  </si>
  <si>
    <t>Output</t>
  </si>
  <si>
    <t>b2</t>
  </si>
  <si>
    <t>b1</t>
  </si>
  <si>
    <t>Do we still have enough money?</t>
  </si>
  <si>
    <t>Yes.</t>
  </si>
  <si>
    <t>Multivariate - Increasing b while trading</t>
  </si>
  <si>
    <t>Insurance Fraud</t>
  </si>
  <si>
    <t>Assume unit price is 1$, insured facility worth $500.</t>
  </si>
  <si>
    <t>Burn Down?</t>
  </si>
  <si>
    <t>No-Fraud Actuarial Risk</t>
  </si>
  <si>
    <t>Increments</t>
  </si>
  <si>
    <t>Value</t>
  </si>
  <si>
    <t>Target</t>
  </si>
  <si>
    <t>Ins Profit</t>
  </si>
  <si>
    <t>Buyer</t>
  </si>
  <si>
    <t>Seller</t>
  </si>
  <si>
    <t>NA</t>
  </si>
  <si>
    <t>Owner Cost</t>
  </si>
  <si>
    <t>Note HIGH sensitivity to increments, particularly increments/value ratio</t>
  </si>
  <si>
    <t>Ins</t>
  </si>
  <si>
    <t>Owner</t>
  </si>
  <si>
    <t>Market</t>
  </si>
  <si>
    <t>Insurance</t>
  </si>
  <si>
    <t>Very interesting…converges to $20 (which is 4% * 500) only at high increments</t>
  </si>
  <si>
    <t>capital tie up</t>
  </si>
  <si>
    <t>problem</t>
  </si>
  <si>
    <t>insurance strategy</t>
  </si>
  <si>
    <t>ROCE</t>
  </si>
  <si>
    <t>(return on capital employed)</t>
  </si>
  <si>
    <t>Very capital intensive (but no counter-party risk)</t>
  </si>
  <si>
    <t>Will likely only work in situations</t>
  </si>
  <si>
    <t>only insure events like natural disasters (hurricane/tornado)</t>
  </si>
  <si>
    <t>works good for events where $ is potentially high (hurricane), because individuals can purchase as much insurance as they need (potentially a great deal), and insurance providers face a deep market</t>
  </si>
  <si>
    <t>include price of arson (unravel?)</t>
  </si>
  <si>
    <t>demand arson protections</t>
  </si>
  <si>
    <t>augmentation - see note on manipulation (this would certainly work IF the augmentation were ungameable [which will probably not be met])</t>
  </si>
  <si>
    <t>End</t>
  </si>
  <si>
    <t>Trade</t>
  </si>
  <si>
    <t>Trade Cost</t>
  </si>
  <si>
    <t>Interpretation</t>
  </si>
  <si>
    <t>i</t>
  </si>
  <si>
    <t>Refund</t>
  </si>
  <si>
    <t>Post-Hoc Net Cost</t>
  </si>
  <si>
    <t>Max and Min must be set in advance - The Taleb Criticism</t>
  </si>
  <si>
    <t>http://measuringworth.com/DJA/</t>
  </si>
  <si>
    <t>http://finance.yahoo.com/echarts?s=%5Edji+interactive</t>
  </si>
  <si>
    <t>https://research.stlouisfed.org/fred2/series/DJIA/downloaddata</t>
  </si>
  <si>
    <t>Escrow Account Balance: enough to pay off the shareholders</t>
  </si>
  <si>
    <t>Redemptions</t>
  </si>
  <si>
    <t>i2=1 is better for the DJIA</t>
  </si>
  <si>
    <t>What happened to that money?</t>
  </si>
  <si>
    <t>was paid for 0 shares.</t>
  </si>
  <si>
    <t>If probabilities increase toward 100%, this amount is used. A higher b allows this number to increase higher before reaching 100%.</t>
  </si>
  <si>
    <t>Targeting Calculator - Use this to "make a trade such that i=0,0 is at this price"</t>
  </si>
  <si>
    <t>LMSR Account</t>
  </si>
  <si>
    <r>
      <t xml:space="preserve">Why the </t>
    </r>
    <r>
      <rPr>
        <b/>
        <u/>
        <sz val="11"/>
        <color theme="1"/>
        <rFont val="Calibri"/>
        <family val="2"/>
        <scheme val="minor"/>
      </rPr>
      <t>logarithmic</t>
    </r>
    <r>
      <rPr>
        <sz val="11"/>
        <color theme="1"/>
        <rFont val="Calibri"/>
        <family val="2"/>
        <scheme val="minor"/>
      </rPr>
      <t xml:space="preserve"> market scoring rule?</t>
    </r>
  </si>
  <si>
    <t>The classic InTrade Binary PM, for example "Mitt Romney to be elected US president in 2012?". State 0 trades 'No' and State 1 trades 'Yes', and over time it becomes clear that State 0 will win.
This market does not require the 'double-auction' features of normal markets, such as buy and sell orders. Instead only a incremental update is required. Each row is an update and the cost to preform this update is in the "Update Cost" column. Traders never need to know that they (potentially) aren't even trading with anyone else. This is easier to implement and ensures that low/zero trading volume is never a problem.</t>
  </si>
  <si>
    <t>A more sophisticated PM, with two dimentions [a,b] each true/false. Event "a" could be "Mitt Romney to be elected US president in 2012?", and event "b" could be "Will the US declare war on Russia in 2013?". As it became clear that neither would happen, the price of state [0,0] would converge to 100%.
Having two dimensions in one market allows us to examine the relationship between each dimension, ie (b|a=1) or "Will the US declare war on Russia given that Mitt Romney was elected president?"</t>
  </si>
  <si>
    <t>LMSR (Market Account)</t>
  </si>
  <si>
    <t xml:space="preserve">Update Cost (User Pays)
</t>
  </si>
  <si>
    <t>The Logarithmic Market Scoring Rule</t>
  </si>
  <si>
    <t>On this page I'll provide two examples of prediction markets which have permanent liquidity (ie, there is always someone to buy and sell against). Instead of placing Bid/Ask orders (which might go unfilled), individuals pay immediately for an immediate update to the market price. Traders can buy and sell shares at any time, with the economic consequences being idential to those of a traditional double-auction market.</t>
  </si>
  <si>
    <t>Example 1: Univariate</t>
  </si>
  <si>
    <t>Example 2: Multivariate</t>
  </si>
  <si>
    <t>Minimal Example</t>
  </si>
  <si>
    <t>Notice:</t>
  </si>
  <si>
    <t>More liquidity = higher upfront cost.</t>
  </si>
  <si>
    <t>Account Balance</t>
  </si>
  <si>
    <t>"Mitt Romney to be elected US president in 2012?"</t>
  </si>
  <si>
    <t>a=0</t>
  </si>
  <si>
    <t>a=1</t>
  </si>
  <si>
    <t>Targeting Calculator - Use this to "make a trade such that a=0 is at this price"</t>
  </si>
  <si>
    <t>a=0 seems likely</t>
  </si>
  <si>
    <t>a=0 known</t>
  </si>
  <si>
    <t>n</t>
  </si>
  <si>
    <t>"total number of states"</t>
  </si>
  <si>
    <t>k</t>
  </si>
  <si>
    <t>"Capital Required"</t>
  </si>
  <si>
    <t>"liquidity parameter (freely chosen)"</t>
  </si>
  <si>
    <t>"Will the US declare war on Russia in 2013?"</t>
  </si>
  <si>
    <t>"Hillary Clinton to be elected US president in 2016?"</t>
  </si>
  <si>
    <t>Notes:</t>
  </si>
  <si>
    <t>Keep in mind that you are betting on "what X claims is the DJIA" and not owning the true DJIA. The same goes for inflation, GDP, etc. you are betting on a publication of information.</t>
  </si>
  <si>
    <t>Market resolves at a=0, (a=1 shares are worthless)</t>
  </si>
  <si>
    <t>m</t>
  </si>
  <si>
    <t>minimum</t>
  </si>
  <si>
    <t>maximum</t>
  </si>
  <si>
    <t>M</t>
  </si>
  <si>
    <t>s</t>
  </si>
  <si>
    <t>scale</t>
  </si>
  <si>
    <t>S</t>
  </si>
  <si>
    <t>cumulative scale</t>
  </si>
  <si>
    <t>u1</t>
  </si>
  <si>
    <t>u2</t>
  </si>
  <si>
    <t>u3</t>
  </si>
  <si>
    <t>Source 1</t>
  </si>
  <si>
    <t>Source 2</t>
  </si>
  <si>
    <t>Source 3</t>
  </si>
  <si>
    <t>d1</t>
  </si>
  <si>
    <t>D</t>
  </si>
  <si>
    <t>[d1]</t>
  </si>
  <si>
    <t>"decision-dimensionality"</t>
  </si>
  <si>
    <t>d2</t>
  </si>
  <si>
    <t>[d1,d2]</t>
  </si>
  <si>
    <t>Stock Market Volatility</t>
  </si>
  <si>
    <t>https://www.google.com/finance?q=NYSE:GE&amp;sa=X&amp;ei=AihpU5eVJrHeyQGx5YG4DQ&amp;ved=0CDMQ2AEwAA</t>
  </si>
  <si>
    <t>null</t>
  </si>
  <si>
    <t>Outcome1</t>
  </si>
  <si>
    <t>Outcome2</t>
  </si>
  <si>
    <t>value</t>
  </si>
  <si>
    <t>Becomes clear that a=1</t>
  </si>
  <si>
    <t>Actual</t>
  </si>
  <si>
    <t>Cost</t>
  </si>
  <si>
    <t>Revenue</t>
  </si>
  <si>
    <t>b-independent Actual</t>
  </si>
  <si>
    <t>Speculating</t>
  </si>
  <si>
    <t>"Donations to Charity X during time T?"</t>
  </si>
  <si>
    <t>b-independent ROCE</t>
  </si>
  <si>
    <t>"cumulative max" max (per dimension)</t>
  </si>
  <si>
    <t xml:space="preserve">Cost
</t>
  </si>
  <si>
    <t>QMSR</t>
  </si>
  <si>
    <t>SMSR</t>
  </si>
  <si>
    <t>"Unfair"</t>
  </si>
  <si>
    <t>"Init. Cost"</t>
  </si>
  <si>
    <t>Notice that the highlighted yellow and pink cells have the same values.
The L-msr allows individuals to bet on ONLY ONE of [liklihood of a, liklihood of b,  relationship between a and b], without having to think about (or risk money on) the other two. Other scoring rules will force you to pay for things you don't care about (red cells).
These benefits become extremely attractive in high-dimensional markets, as humans  typically find it difficult to even think about the relationship between 5 or 6 things (itself hundreds of possible relationships).</t>
  </si>
  <si>
    <t>change me</t>
  </si>
  <si>
    <t>.</t>
  </si>
  <si>
    <t>Use Solver to minimize cost</t>
  </si>
  <si>
    <t>e^(Shares)</t>
  </si>
  <si>
    <t>Price or Liklihood</t>
  </si>
  <si>
    <t>Target Prob's</t>
  </si>
  <si>
    <t>Actual Prob's</t>
  </si>
  <si>
    <t>Initial Prob's</t>
  </si>
  <si>
    <t>(Will have to program this minimization, if no analytic solution is found. I have given up for now. It is not really an intensive problem.)</t>
  </si>
  <si>
    <t>Share Value</t>
  </si>
  <si>
    <t>Minimize</t>
  </si>
  <si>
    <t>k75</t>
  </si>
  <si>
    <t>st</t>
  </si>
  <si>
    <t>Shares only increase</t>
  </si>
  <si>
    <t>actual probabilities match target probabilities</t>
  </si>
  <si>
    <t>1000|0 (Donations if No)</t>
  </si>
  <si>
    <t>1000|1 (Donations if Yes)</t>
  </si>
  <si>
    <t>1|0 (Law if No Donations)</t>
  </si>
  <si>
    <t>1|1000 (Law if Donations)</t>
  </si>
  <si>
    <t>Passing Law (Reguardless of Donations)</t>
  </si>
  <si>
    <t>Getting Donations (Reguardless of Law)</t>
  </si>
  <si>
    <t>"Anti-Bitcoin law passed in time (T-1)?"</t>
  </si>
  <si>
    <t>This portfolio will be worth return(d1) regardless of what happens to d2.</t>
  </si>
  <si>
    <t>Re: consensus, must switch to median and remove .5-disincentive (switch disincentive to altnernating min/max extreme)</t>
  </si>
  <si>
    <t>-i</t>
  </si>
  <si>
    <t xml:space="preserve">These items (specifically, cell F35) would be determined in almost the same way as a Binary 0,1 claim. </t>
  </si>
  <si>
    <t>Index
"Long DJIA"</t>
  </si>
  <si>
    <t>Index
"Short DJIA"</t>
  </si>
  <si>
    <t>Voters would 'input' the value of cell D35 for user-friendliness.</t>
  </si>
  <si>
    <t>Only one dimension, only one decision.</t>
  </si>
  <si>
    <t>This value can be anything.</t>
  </si>
  <si>
    <t>"cumulative scale" (maximum winnings)</t>
  </si>
  <si>
    <t>Marginal Value</t>
  </si>
  <si>
    <t>Marginal Probability</t>
  </si>
  <si>
    <t>Probability (Joint)</t>
  </si>
  <si>
    <t>Share Value (back to Joint Probability)</t>
  </si>
  <si>
    <t>Index Value</t>
  </si>
  <si>
    <t>We are long d2, it is never at risk. We are "in d2 dollars".</t>
  </si>
  <si>
    <t>Target (return(d1)):</t>
  </si>
  <si>
    <t>Success!</t>
  </si>
  <si>
    <t>If b were infinite, we could have picked up the shares for exactly this cost. (At finite b we are slightly betting against ourselves).</t>
  </si>
  <si>
    <t>Return</t>
  </si>
  <si>
    <t>Literal revenue/cost</t>
  </si>
  <si>
    <t>Escrow Account Balance: always enough to pay off the shareholders</t>
  </si>
  <si>
    <t>Notice: blue line falls (can't have both), red and green lines begin to move opposite each other.</t>
  </si>
  <si>
    <t>Conditional Probabilities</t>
  </si>
  <si>
    <t>Conditional Values</t>
  </si>
  <si>
    <t>V(0,:)</t>
  </si>
  <si>
    <t>V(1000,:)</t>
  </si>
  <si>
    <t>V(:,0)</t>
  </si>
  <si>
    <t>V(:,1)</t>
  </si>
  <si>
    <t>How to perform trades which move the market in this way ("How to place a conditional-charity bet.")</t>
  </si>
  <si>
    <t>Buy this to "short" the DJIA.</t>
  </si>
  <si>
    <t>Buy this to "go long" on the DJIA.</t>
  </si>
  <si>
    <t>(short LTC)</t>
  </si>
  <si>
    <t>(long LTC)</t>
  </si>
  <si>
    <t>(long TRU)</t>
  </si>
  <si>
    <t>(short TRU)</t>
  </si>
  <si>
    <t>Result of SVD-Consensus</t>
  </si>
  <si>
    <t>War</t>
  </si>
  <si>
    <t>No War</t>
  </si>
  <si>
    <t>Solver Model #1</t>
  </si>
  <si>
    <t>If(0,0)</t>
  </si>
  <si>
    <t>If(0,1)</t>
  </si>
  <si>
    <t>If(1,0)</t>
  </si>
  <si>
    <t>If(1,1)</t>
  </si>
  <si>
    <t>Benefit</t>
  </si>
  <si>
    <t>b-independent Cost</t>
  </si>
  <si>
    <t>b-indep Return</t>
  </si>
  <si>
    <t>What if NOT Mitt Romney?</t>
  </si>
  <si>
    <t>Expected Return</t>
  </si>
  <si>
    <t>What if Mitt Romney?</t>
  </si>
  <si>
    <t>Expected Total Return</t>
  </si>
  <si>
    <t>Solver Model #2</t>
  </si>
  <si>
    <t>d1^2</t>
  </si>
  <si>
    <t>Decision 1 Squared - ("The number of rainy or snowy days in NYC.")^2</t>
  </si>
  <si>
    <t>Mean</t>
  </si>
  <si>
    <t>Var</t>
  </si>
  <si>
    <t>CoV</t>
  </si>
  <si>
    <t>SD</t>
  </si>
  <si>
    <t>Error</t>
  </si>
  <si>
    <t>(Outcome1)^2</t>
  </si>
  <si>
    <t>S1 (Scenario 1: "Short Variability")</t>
  </si>
  <si>
    <t>S2 (Scenario 2: "Long Variability")</t>
  </si>
  <si>
    <t>S3 (Scenario 3: "Short X^2")</t>
  </si>
  <si>
    <t>S4 (Scenario 4: "Long X^2")</t>
  </si>
  <si>
    <t>Final Sales (Revenue)</t>
  </si>
  <si>
    <t>Realization</t>
  </si>
  <si>
    <t>Short Var</t>
  </si>
  <si>
    <t>Long Var</t>
  </si>
  <si>
    <t>Short X2</t>
  </si>
  <si>
    <t>Long X2</t>
  </si>
  <si>
    <t>Absurdly high returns for S1…is it just my example?</t>
  </si>
  <si>
    <t>More analysis is needed.</t>
  </si>
  <si>
    <t>Estimates (From PMs)</t>
  </si>
  <si>
    <t>(If perfectly non-varying)</t>
  </si>
  <si>
    <t>Estimates to Moments</t>
  </si>
  <si>
    <t>X</t>
  </si>
  <si>
    <t>1 "Mean"</t>
  </si>
  <si>
    <t>X2</t>
  </si>
  <si>
    <t>2 "Variance"</t>
  </si>
  <si>
    <t>X3</t>
  </si>
  <si>
    <t>3 "Skewness"</t>
  </si>
  <si>
    <t>X4</t>
  </si>
  <si>
    <t>4 "Kurtosis"</t>
  </si>
  <si>
    <t>Moments to Parameters</t>
  </si>
  <si>
    <t>Parameter</t>
  </si>
  <si>
    <t>Normal</t>
  </si>
  <si>
    <t>Beta</t>
  </si>
  <si>
    <t>Exponential</t>
  </si>
  <si>
    <t>http://en.wikipedia.org/wiki/D%27Agostino%27s_K-squared_test</t>
  </si>
  <si>
    <t>Skew</t>
  </si>
  <si>
    <t>Goal: 0</t>
  </si>
  <si>
    <t>Goal: 2</t>
  </si>
  <si>
    <t>Kurt</t>
  </si>
  <si>
    <t>Goal: 3</t>
  </si>
  <si>
    <t>Goal: 9</t>
  </si>
  <si>
    <t>lamda</t>
  </si>
  <si>
    <t>Alpha</t>
  </si>
  <si>
    <t>Parameters to Densities</t>
  </si>
  <si>
    <t>Likelihood</t>
  </si>
  <si>
    <t>Two Scaled Decisions - One the Square of the Other</t>
  </si>
  <si>
    <t>Two or More Scaled Decisions</t>
  </si>
  <si>
    <t>Conditional Scaled Decisions</t>
  </si>
  <si>
    <t>Goal: Use trades to discourage anti-Bitcoin law from passing by (providing charitable incentive).</t>
  </si>
  <si>
    <t>Conditional or "Refunded" Claims</t>
  </si>
  <si>
    <t>Shares bought:</t>
  </si>
  <si>
    <t>Your Info Was Wrong (Old P's were Better)</t>
  </si>
  <si>
    <t>Your Info Was Rght (New P's were Better)</t>
  </si>
  <si>
    <t>**</t>
  </si>
  <si>
    <t>The "refund" (you expect to get your money back).</t>
  </si>
  <si>
    <t>What if No War?</t>
  </si>
  <si>
    <t>What if War?</t>
  </si>
  <si>
    <t>(Assuming your new probabilities are accurate).</t>
  </si>
  <si>
    <t>(Assuming old probabilities were accurate).</t>
  </si>
  <si>
    <t xml:space="preserve">Refunding the Counterfactual </t>
  </si>
  <si>
    <t>Turn two prediction markets into an entire distribution (how useless that distribution is, is up to you).</t>
  </si>
  <si>
    <t>Same seed capital in both cases.</t>
  </si>
  <si>
    <t>Sensitivity</t>
  </si>
  <si>
    <t>Not
LS</t>
  </si>
  <si>
    <t>Pain</t>
  </si>
  <si>
    <t>Painfree Prices (for observers)</t>
  </si>
  <si>
    <t>d(Price)</t>
  </si>
  <si>
    <t>d(Price)/d(Account)</t>
  </si>
  <si>
    <t>Pr(A)</t>
  </si>
  <si>
    <t>LS</t>
  </si>
  <si>
    <t>b(q)</t>
  </si>
  <si>
    <t>qSUM</t>
  </si>
  <si>
    <t>(q1/b)</t>
  </si>
  <si>
    <t>(q2/b)</t>
  </si>
  <si>
    <t xml:space="preserve"> EXP (q1/b)</t>
  </si>
  <si>
    <t xml:space="preserve"> EXP (q2/b)</t>
  </si>
  <si>
    <t>SUM</t>
  </si>
  <si>
    <t>Rule of Thumb: Estimate a commission which does not exceed v (for market with N states).</t>
  </si>
  <si>
    <t>alpha = v / n log n</t>
  </si>
  <si>
    <t>Max Excessive Spread</t>
  </si>
  <si>
    <t xml:space="preserve"> (unstable)</t>
  </si>
  <si>
    <t>Comparison</t>
  </si>
  <si>
    <t>Log(Depth)</t>
  </si>
  <si>
    <t>Old Probability</t>
  </si>
  <si>
    <t>New Probability</t>
  </si>
  <si>
    <t>New Painfree</t>
  </si>
  <si>
    <t>Painfree Error</t>
  </si>
  <si>
    <t>B as a function of outstanding shares (quite clever)</t>
  </si>
  <si>
    <t>b-indep cost</t>
  </si>
  <si>
    <t>return</t>
  </si>
  <si>
    <t>"long 1"</t>
  </si>
  <si>
    <t>"long 2"</t>
  </si>
  <si>
    <t>What's the deal with these returns being on the Marginal Value and not the Index Value?</t>
  </si>
  <si>
    <t>Assume</t>
  </si>
  <si>
    <t>Index moves from 1600 to 1400, but contract only covers 1000 through 2000.</t>
  </si>
  <si>
    <t>You Got</t>
  </si>
  <si>
    <t>You Expected</t>
  </si>
  <si>
    <t>It's always going to be "overlevered". What's the deal?</t>
  </si>
  <si>
    <t>Portfolio Replication</t>
  </si>
  <si>
    <t>Cash</t>
  </si>
  <si>
    <t>h</t>
  </si>
  <si>
    <t>Total</t>
  </si>
  <si>
    <t>Total Ret</t>
  </si>
  <si>
    <t>Before</t>
  </si>
  <si>
    <t>After</t>
  </si>
  <si>
    <t>Min</t>
  </si>
  <si>
    <t>Max</t>
  </si>
  <si>
    <t>Scale</t>
  </si>
  <si>
    <t>Relative Span</t>
  </si>
  <si>
    <t>Example 2</t>
  </si>
  <si>
    <t>Example 1</t>
  </si>
  <si>
    <t>-200 over 1600</t>
  </si>
  <si>
    <t>-200 over 600</t>
  </si>
  <si>
    <t>11 over 24</t>
  </si>
  <si>
    <t>11 over 26</t>
  </si>
  <si>
    <t>Index moves from 26 to 37, but contract only covers 2 through 50.</t>
  </si>
  <si>
    <t>Example 3</t>
  </si>
  <si>
    <t>Index moves from 17.5 to 18, but contract only covers 16 through 18.</t>
  </si>
  <si>
    <t>.5 over 17.5</t>
  </si>
  <si>
    <t>Current Price</t>
  </si>
  <si>
    <t>.5 over 1.5</t>
  </si>
  <si>
    <t>how much does "one of each share" cost? 298.</t>
  </si>
  <si>
    <t>"cumulative scale" (nonexistant in this case)</t>
  </si>
  <si>
    <t>(solved algebraically)</t>
  </si>
  <si>
    <t>"True Prob"</t>
  </si>
  <si>
    <t>Market Price</t>
  </si>
  <si>
    <t>PF Price</t>
  </si>
  <si>
    <t>?</t>
  </si>
  <si>
    <t>Total Pain</t>
  </si>
  <si>
    <t>Surplus</t>
  </si>
  <si>
    <t>Surplus/ (2*.05)</t>
  </si>
  <si>
    <t>Price</t>
  </si>
  <si>
    <t>Requested</t>
  </si>
  <si>
    <t>Translation</t>
  </si>
  <si>
    <t>Req2</t>
  </si>
  <si>
    <t>p0</t>
  </si>
  <si>
    <t>r</t>
  </si>
  <si>
    <t>Amped R</t>
  </si>
  <si>
    <t>1- AR</t>
  </si>
  <si>
    <t>One Dollar</t>
  </si>
  <si>
    <t>Note: To repliacte the return using the method of this sheet, traders need to "buy" a portfolio of shares AND an amount of cash (or Bitcoin, or BitUSD, or the base asset of their choice, or sell some Bitcon for USD).</t>
  </si>
  <si>
    <t>For demonstration purposes only: see (Standard) for a protocol-amenable version.</t>
  </si>
  <si>
    <t>Total value across all Shares is always 1, for versions with more easily-interpretable numbers, see MV Scaled (Explicit).</t>
  </si>
  <si>
    <t>Conditional Charity</t>
  </si>
  <si>
    <t>Liquidity Sensitivity</t>
  </si>
  <si>
    <t>Max Shares Outstanding</t>
  </si>
  <si>
    <t>Long Variability</t>
  </si>
  <si>
    <t>Insurance Fraud Experiments</t>
  </si>
  <si>
    <t>2x2 Update Calculator</t>
  </si>
  <si>
    <t>Tab Title</t>
  </si>
  <si>
    <t>Table of Contents</t>
  </si>
  <si>
    <t>Tab Description</t>
  </si>
  <si>
    <t>A rather complicated idea: looking at a numeric(X), such as "How many votes will Hillary Clinton get?" and betting on the *standard deviation* of that number, not the average.</t>
  </si>
  <si>
    <t>Changing b mid-trading</t>
  </si>
  <si>
    <t>PMs probably aren't useful for insurance, as they must always have the full value-at-stake in reserves at all times (which partially defeats the point, but might be agreeable to some). Obviously, moral hazard would be of huge concern.</t>
  </si>
  <si>
    <t>Boring calculator for targeting conditional, joint, marginal probabilities.</t>
  </si>
  <si>
    <t>Possible Values</t>
  </si>
  <si>
    <t>Shifted</t>
  </si>
  <si>
    <t>Plausible</t>
  </si>
  <si>
    <t>Rescaled</t>
  </si>
  <si>
    <t>Function Applied (Log)</t>
  </si>
  <si>
    <t>Function Applied (^2)</t>
  </si>
  <si>
    <t>Function Applied (e^)</t>
  </si>
  <si>
    <t>Functions of Decisions</t>
  </si>
  <si>
    <t>Below are examples of a few simple operations on Decision-data, and the exact order in which these functions would be applied.</t>
  </si>
  <si>
    <t>These values are displayed to the user, and reported by voters.</t>
  </si>
  <si>
    <t>Next, the chosen function is applied.</t>
  </si>
  <si>
    <t>Finally, we divide by the shifted-Max.</t>
  </si>
  <si>
    <t>Post application of f(), we subtract by f(Min).</t>
  </si>
  <si>
    <t>Highlight rows 2 and 3 - The purchase of variance only</t>
  </si>
  <si>
    <t>Marginal Shares</t>
  </si>
  <si>
    <t>b-indep Cost</t>
  </si>
  <si>
    <t>"What you bought."</t>
  </si>
  <si>
    <t>"What it cost."</t>
  </si>
  <si>
    <t>World 1 - Low Variance</t>
  </si>
  <si>
    <t>Case 0</t>
  </si>
  <si>
    <t>Case -1</t>
  </si>
  <si>
    <t>Case -2</t>
  </si>
  <si>
    <t>Case 1</t>
  </si>
  <si>
    <t>Case 2</t>
  </si>
  <si>
    <t>Two Worlds: Low and High Variance</t>
  </si>
  <si>
    <t>World 2 - High Variance</t>
  </si>
  <si>
    <t>Outcome</t>
  </si>
  <si>
    <t>Liklihood</t>
  </si>
  <si>
    <t>Profit</t>
  </si>
  <si>
    <t>Exp Profit</t>
  </si>
  <si>
    <t>Case -3</t>
  </si>
  <si>
    <t>difference</t>
  </si>
  <si>
    <t>% of cost</t>
  </si>
  <si>
    <t>The portfolio (in this example) seems to lose money (in expectation) regardless of which world we are in.</t>
  </si>
  <si>
    <t>The loss of money isn't relevant here.</t>
  </si>
  <si>
    <t>What *is* relevant: the "bet on volatility" does better in a more volatile world.</t>
  </si>
  <si>
    <t>How Exactly Does This Work?</t>
  </si>
  <si>
    <t>Painfree Prices (for observers, somewhat arbitrary)</t>
  </si>
  <si>
    <t>"On June 1st, 2017, does the Bitcoin blockchain with the highest cumulative proof of work use a blocksize greater than 1 MB?"</t>
  </si>
  <si>
    <t>"What will the USD/BTC Exchange rate on June 1st, 2017? (two decimal places, rounded)"</t>
  </si>
  <si>
    <t>(long BitUSD)</t>
  </si>
  <si>
    <t>(short BitUSD)</t>
  </si>
  <si>
    <t>Outcome Possibilites</t>
  </si>
  <si>
    <t>Cost of the "pro-increase" portfolio.</t>
  </si>
  <si>
    <t>Blocksize Kept at 1 MB</t>
  </si>
  <si>
    <t>Blocksize Increased to &gt;1 MB</t>
  </si>
  <si>
    <t>b-independent cost</t>
  </si>
  <si>
    <t>b-independent return</t>
  </si>
  <si>
    <t>Exchange Rate</t>
  </si>
  <si>
    <t>1 MB</t>
  </si>
  <si>
    <t>&gt;1 MB</t>
  </si>
  <si>
    <t>BTC Return:</t>
  </si>
  <si>
    <t>Expected
BTC Price</t>
  </si>
  <si>
    <t>Escrow Account Balance</t>
  </si>
  <si>
    <t>p( Increase )</t>
  </si>
  <si>
    <t>Normalized</t>
  </si>
  <si>
    <t>(always equal to the Bitcoin return)</t>
  </si>
  <si>
    <t>Becomes clear that &gt;1 MB</t>
  </si>
  <si>
    <t>*Low liquidity induces price jump.</t>
  </si>
  <si>
    <t>*Assume infinite liquidity.</t>
  </si>
  <si>
    <t>(always zero)</t>
  </si>
  <si>
    <t>Random Exchange Rate Fluctuations</t>
  </si>
  <si>
    <t>This market (with completely fabricated data) believes that increasing the blocksize is the way to go.</t>
  </si>
  <si>
    <t>Blocksize Increase Controversy</t>
  </si>
  <si>
    <t>{1} {2}</t>
  </si>
  <si>
    <t>{4}</t>
  </si>
  <si>
    <t>error</t>
  </si>
  <si>
    <t>Setup</t>
  </si>
  <si>
    <t>#1</t>
  </si>
  <si>
    <t>#2</t>
  </si>
  <si>
    <t>#3</t>
  </si>
  <si>
    <t>#4</t>
  </si>
  <si>
    <t>#5</t>
  </si>
  <si>
    <t>#6</t>
  </si>
  <si>
    <t>#7</t>
  </si>
  <si>
    <t>#8</t>
  </si>
  <si>
    <t>Grid Form</t>
  </si>
  <si>
    <t>init sum|rand</t>
  </si>
  <si>
    <t>Dim 3 - Exchange Rate</t>
  </si>
  <si>
    <t>initial prices</t>
  </si>
  <si>
    <t>Portfolio</t>
  </si>
  <si>
    <t>Dim 2 - Goal Metric</t>
  </si>
  <si>
    <t>Min: 0</t>
  </si>
  <si>
    <t>Max: 1</t>
  </si>
  <si>
    <t>Dim 1 - Blocksize</t>
  </si>
  <si>
    <t>Remain</t>
  </si>
  <si>
    <t>Dim 1</t>
  </si>
  <si>
    <t>normed</t>
  </si>
  <si>
    <t>Increase</t>
  </si>
  <si>
    <t>d3 sum</t>
  </si>
  <si>
    <t>final prices 1</t>
  </si>
  <si>
    <t>*</t>
  </si>
  <si>
    <t>Dim 2</t>
  </si>
  <si>
    <t>Dim 3</t>
  </si>
  <si>
    <t>final prices 2</t>
  </si>
  <si>
    <t>Supporting Math</t>
  </si>
  <si>
    <t>Index</t>
  </si>
  <si>
    <t>Long</t>
  </si>
  <si>
    <t>Short</t>
  </si>
  <si>
    <t>p_5678</t>
  </si>
  <si>
    <t>p_3478</t>
  </si>
  <si>
    <t>p_68</t>
  </si>
  <si>
    <t>P_68</t>
  </si>
  <si>
    <t>lowest</t>
  </si>
  <si>
    <t>Principal</t>
  </si>
  <si>
    <t>Leverage</t>
  </si>
  <si>
    <t>Now</t>
  </si>
  <si>
    <t>Later</t>
  </si>
  <si>
    <t>BTC Port cost</t>
  </si>
  <si>
    <t>pUSD</t>
  </si>
  <si>
    <t>USD_BTC</t>
  </si>
  <si>
    <t>USD</t>
  </si>
  <si>
    <t>x=</t>
  </si>
  <si>
    <t>y=</t>
  </si>
  <si>
    <t>Range</t>
  </si>
  <si>
    <t>Results</t>
  </si>
  <si>
    <t>Switch</t>
  </si>
  <si>
    <t>Initial</t>
  </si>
  <si>
    <t>Future</t>
  </si>
  <si>
    <t>Invest</t>
  </si>
  <si>
    <t>BTC</t>
  </si>
  <si>
    <t>Sale ($)</t>
  </si>
  <si>
    <t>d2 return</t>
  </si>
  <si>
    <t>d3 return</t>
  </si>
  <si>
    <t>d2/d3</t>
  </si>
  <si>
    <t>Press F9 to refresh.</t>
  </si>
  <si>
    <t>[1] The owner of the portfolio gets a refund, in dollars, if the blocksize-decision is not what they wanted.</t>
  </si>
  <si>
    <t>[2] The owner of the portfolio makes money commensurate with their bet on the goal metric.</t>
  </si>
  <si>
    <t>[3] The real world might be even better-behaved than this model.</t>
  </si>
  <si>
    <t>Final prices should probably be constrained to have an independent d3 (dim3 | dim2 really shouldn't differ).</t>
  </si>
  <si>
    <t>Rewire final prices to miss the target…</t>
  </si>
  <si>
    <t>Distortion?</t>
  </si>
  <si>
    <t>* Try changing this around, to see what happens when the target misses. The result: almost nothing.</t>
  </si>
  <si>
    <t>USD Refunds on Blockchain Betting</t>
  </si>
  <si>
    <t>(When BTC Price Volatility Interferes with the Forecast)</t>
  </si>
  <si>
    <t>USD Refunds - II</t>
  </si>
  <si>
    <t>(Does it matter that trader must forecast P_68? No.)</t>
  </si>
  <si>
    <t>Actual P_68</t>
  </si>
  <si>
    <t>Each pair sums to 1.</t>
  </si>
  <si>
    <t>Each pair sums to scale(Di).</t>
  </si>
  <si>
    <t>Marginal, shifted by 2 mins each.</t>
  </si>
  <si>
    <t>Functions of Scalar Decisions ("Derivatives")</t>
  </si>
  <si>
    <t>d1'</t>
  </si>
  <si>
    <t>Buy this to "sell" a DJIA call option.</t>
  </si>
  <si>
    <t>Buy this to "buy" a DJIA call option.</t>
  </si>
  <si>
    <t>Derivative of d1, call option with 14500 strike price.</t>
  </si>
  <si>
    <t>F</t>
  </si>
  <si>
    <t>x</t>
  </si>
  <si>
    <t>d1, c</t>
  </si>
  <si>
    <t>Underlying</t>
  </si>
  <si>
    <t>[d1']</t>
  </si>
  <si>
    <t>M1</t>
  </si>
  <si>
    <t>M2</t>
  </si>
  <si>
    <t>Spent</t>
  </si>
  <si>
    <t>At t = 9</t>
  </si>
  <si>
    <t>Time = 7</t>
  </si>
  <si>
    <t>At t = 10</t>
  </si>
  <si>
    <t>At End</t>
  </si>
  <si>
    <t>Real World</t>
  </si>
  <si>
    <t>Synthetic (M1)</t>
  </si>
  <si>
    <t>Inv. per $</t>
  </si>
  <si>
    <t>Held per $</t>
  </si>
  <si>
    <t>De-lever (h)</t>
  </si>
  <si>
    <t>Equal?</t>
  </si>
  <si>
    <t>Sanity Check</t>
  </si>
  <si>
    <t>Opt. Value</t>
  </si>
  <si>
    <t>Short Value</t>
  </si>
  <si>
    <t>At t = 8</t>
  </si>
  <si>
    <t>Real</t>
  </si>
  <si>
    <t>Synthetic</t>
  </si>
  <si>
    <t>This shows how one can use "h" to move between the Synthetic World (ranging 0 to 1.0) and the Real World.</t>
  </si>
  <si>
    <t>The returns are the same.</t>
  </si>
  <si>
    <t>Call Option</t>
  </si>
  <si>
    <t>Time = 5</t>
  </si>
  <si>
    <t>Option</t>
  </si>
  <si>
    <t>h1</t>
  </si>
  <si>
    <t>h2</t>
  </si>
  <si>
    <t>h*</t>
  </si>
  <si>
    <t>Assuming no "time premium" (no subjective uncertainy component) for the option price...</t>
  </si>
  <si>
    <t>Harmonizing M1 and M2</t>
  </si>
  <si>
    <t>SSR</t>
  </si>
  <si>
    <t>Option Value</t>
  </si>
  <si>
    <t>Synthetic Option Value (M2)</t>
  </si>
  <si>
    <t>This should not be surprising, as M2 is merely a restricted movement within M1.</t>
  </si>
  <si>
    <t>This results in loss of precision.. one which is (seemingly) pointless.</t>
  </si>
  <si>
    <t>Solution: Adjust by 1/(1-Strike)</t>
  </si>
  <si>
    <t>Synthetic Option Value (M3)</t>
  </si>
  <si>
    <t>Both the purchase price and the sale price have been altered by 1/(1-X), which cancels.</t>
  </si>
  <si>
    <t>Bonus Points - Free Rescaling</t>
  </si>
  <si>
    <t>Movements within the zero range will be calibrated perfectly, by definition.</t>
  </si>
  <si>
    <t>It follows that, movements between the two ranges are also calibrated.</t>
  </si>
  <si>
    <t>Therefore, we have replicated the option payoff.</t>
  </si>
  <si>
    <t>"It is possible to create a position consisting of Δ shares and $B borrowed at the risk free rate, which will produce identical cash flows to one option on the underlying share."</t>
  </si>
  <si>
    <t>-- https://en.wikipedia.org/wiki/Rational_pricing#The_replicating_portfolio</t>
  </si>
  <si>
    <t>Since it is the case that:</t>
  </si>
  <si>
    <t>Option = Share + Borrowing</t>
  </si>
  <si>
    <t>Option = Underlying + Leverage</t>
  </si>
  <si>
    <t>...traders can use these Synthetic Options to create / destroy leverage.</t>
  </si>
  <si>
    <t>Derivatives and Leverage</t>
  </si>
  <si>
    <t>Dimension 1</t>
  </si>
  <si>
    <t>Dimension 2</t>
  </si>
  <si>
    <t>Max ($50/share)</t>
  </si>
  <si>
    <t>Min ($2/share)</t>
  </si>
  <si>
    <t>This market believes that the GE share price would be higher under Flannery's leadership. Which CEOs aren't pulling their weight?</t>
  </si>
  <si>
    <t>Stock Price</t>
  </si>
  <si>
    <t>target</t>
  </si>
  <si>
    <t>error:</t>
  </si>
  <si>
    <t>premium</t>
  </si>
  <si>
    <t>Leave &amp; Min</t>
  </si>
  <si>
    <t>Stay &amp; Min</t>
  </si>
  <si>
    <t>Leave &amp; Max</t>
  </si>
  <si>
    <t>Stay &amp; Max</t>
  </si>
  <si>
    <t>d1 = min</t>
  </si>
  <si>
    <t>d1 = max</t>
  </si>
  <si>
    <t>max|leave</t>
  </si>
  <si>
    <t>max|stay</t>
  </si>
  <si>
    <t>d2 = leave</t>
  </si>
  <si>
    <t>d2 = stay</t>
  </si>
  <si>
    <t>actual</t>
  </si>
  <si>
    <t>Flannery = Good</t>
  </si>
  <si>
    <t>importance</t>
  </si>
  <si>
    <t>Max | CEO Leaves</t>
  </si>
  <si>
    <t>Max | CEO Stays</t>
  </si>
  <si>
    <t>leave | max</t>
  </si>
  <si>
    <t>leave | min</t>
  </si>
  <si>
    <t>"Donald Trump to be re-elected US president in 2020?"</t>
  </si>
  <si>
    <t>"What will the Dow Jones Industrial Average closing price be on Feb 13th, 2020? (two decimal places, rounded, USD/DJIA)"</t>
  </si>
  <si>
    <t>"What will the BTC/LTC exchange rate be on May 2nd, 2020? (three decimal places, rounded)"</t>
  </si>
  <si>
    <t>"What will the USD / TRU exchange rate be on May 2nd, 2020? (three decimal places, rounded)"</t>
  </si>
  <si>
    <t>"How many rainy or snowy days will there be in New York City in 2025?"</t>
  </si>
  <si>
    <t>The SD approaches 0 as the event-date draws nearer. [We don't know who will be elected, but we know that we WILL KNOW by December]).</t>
  </si>
  <si>
    <t>Starts at 125…</t>
  </si>
  <si>
    <t>…then goes…</t>
  </si>
  <si>
    <t>&lt;--- shares purchased</t>
  </si>
  <si>
    <t>Final Share Prices:</t>
  </si>
  <si>
    <t>Snowy Days</t>
  </si>
  <si>
    <t>Share Values</t>
  </si>
  <si>
    <t>Cost (ignore)</t>
  </si>
  <si>
    <t>First, I list all of the decisions. In this case, there's just one.</t>
  </si>
  <si>
    <t>Calculated by Computer</t>
  </si>
  <si>
    <t>User Provides This</t>
  </si>
  <si>
    <t>In this explanation, this (Column J) is calculated first, and then the user is asked to pay it. And they then do.</t>
  </si>
  <si>
    <t>Next, I use the decision(s) to construct the Market.</t>
  </si>
  <si>
    <t>One</t>
  </si>
  <si>
    <t>Two</t>
  </si>
  <si>
    <t>Three</t>
  </si>
  <si>
    <t>Spend</t>
  </si>
  <si>
    <t>to get</t>
  </si>
  <si>
    <t>shares.</t>
  </si>
  <si>
    <t>Worth</t>
  </si>
  <si>
    <t>each,</t>
  </si>
  <si>
    <t>total.</t>
  </si>
  <si>
    <t>Implies:</t>
  </si>
  <si>
    <t>Odds</t>
  </si>
  <si>
    <t>Prob.</t>
  </si>
  <si>
    <t>Decimal (ROI)</t>
  </si>
  <si>
    <t>Slip (abs)</t>
  </si>
  <si>
    <t>Slip (%)</t>
  </si>
  <si>
    <t>Vars</t>
  </si>
  <si>
    <t>Base</t>
  </si>
  <si>
    <t>resid</t>
  </si>
  <si>
    <t>When High</t>
  </si>
  <si>
    <t>When Low</t>
  </si>
  <si>
    <t>When marginal</t>
  </si>
  <si>
    <t>to lose</t>
  </si>
  <si>
    <t>Quoted</t>
  </si>
  <si>
    <t>Apparent</t>
  </si>
  <si>
    <t>Gained</t>
  </si>
  <si>
    <t>Testing the effect of the Quadratic MSR.</t>
  </si>
  <si>
    <t>SMSR (Market Account)</t>
  </si>
  <si>
    <t>d</t>
  </si>
  <si>
    <t>"density"</t>
  </si>
  <si>
    <t>https://scholarship.law.gwu.edu/cgi/viewcontent.cgi?referer=https://www.google.com/&amp;httpsredir=1&amp;article=1212&amp;context=faculty_publications</t>
  </si>
  <si>
    <t>v</t>
  </si>
  <si>
    <t>"share payoff"</t>
  </si>
  <si>
    <t>pcurrent_star = pcurrent</t>
  </si>
  <si>
    <t>Linear</t>
  </si>
  <si>
    <t>Geometric</t>
  </si>
  <si>
    <t>standard [0,1] range</t>
  </si>
  <si>
    <r>
      <t>custom [</t>
    </r>
    <r>
      <rPr>
        <u/>
        <sz val="11"/>
        <color theme="1"/>
        <rFont val="Calibri"/>
        <family val="2"/>
        <scheme val="minor"/>
      </rPr>
      <t>m</t>
    </r>
    <r>
      <rPr>
        <sz val="11"/>
        <color theme="1"/>
        <rFont val="Calibri"/>
        <family val="2"/>
        <scheme val="minor"/>
      </rPr>
      <t xml:space="preserve">in, </t>
    </r>
    <r>
      <rPr>
        <u/>
        <sz val="11"/>
        <color theme="1"/>
        <rFont val="Calibri"/>
        <family val="2"/>
        <scheme val="minor"/>
      </rPr>
      <t>M</t>
    </r>
    <r>
      <rPr>
        <sz val="11"/>
        <color theme="1"/>
        <rFont val="Calibri"/>
        <family val="2"/>
        <scheme val="minor"/>
      </rPr>
      <t>AX] range</t>
    </r>
  </si>
  <si>
    <r>
      <rPr>
        <u/>
        <sz val="8"/>
        <color theme="1"/>
        <rFont val="Calibri"/>
        <family val="2"/>
        <scheme val="minor"/>
      </rPr>
      <t>s</t>
    </r>
    <r>
      <rPr>
        <sz val="8"/>
        <color theme="1"/>
        <rFont val="Calibri"/>
        <family val="2"/>
        <scheme val="minor"/>
      </rPr>
      <t>pan = (MAX-min)</t>
    </r>
  </si>
  <si>
    <t>span</t>
  </si>
  <si>
    <t>*SVD consensus requires all variables to be map-able to a 0,1 range. So they need to be bounded by a min and max.</t>
  </si>
  <si>
    <t>Transforming Real-World Variables</t>
  </si>
  <si>
    <t>*Since we have to fit the outcomes into [0,1] range anyway, we'll exploit the opportunities it gives us (on the market/trading side) as much as possible!</t>
  </si>
  <si>
    <t>"Yes"</t>
  </si>
  <si>
    <t>"No"</t>
  </si>
  <si>
    <t>"Yes" (a=0)</t>
  </si>
  <si>
    <t>"No" (a=1)</t>
  </si>
  <si>
    <t>The figures here in Column J are calculated user-side first (before any trade takes place). Column J shows what the user must pay to acquire the share they want. If they make a transaction that pays this amount in, and removes as many shares, then it is considered a valid trade and the market updates its state.</t>
  </si>
  <si>
    <t>SVD-Consensus</t>
  </si>
  <si>
    <t>Trading Stops</t>
  </si>
  <si>
    <t>Redeem Shares</t>
  </si>
  <si>
    <t>Market Destroyed</t>
  </si>
  <si>
    <t>Market Created</t>
  </si>
  <si>
    <t>Trading Begins</t>
  </si>
  <si>
    <t>standard [1,+Inf] range</t>
  </si>
  <si>
    <t>prices are simple linear function of the underlying</t>
  </si>
  <si>
    <t>prices are a nonlinear function of the underlying</t>
  </si>
  <si>
    <t>Financial</t>
  </si>
  <si>
    <t>"Up"</t>
  </si>
  <si>
    <t>"Down"</t>
  </si>
  <si>
    <t>"Short"</t>
  </si>
  <si>
    <t>"Long"</t>
  </si>
  <si>
    <t>Returns</t>
  </si>
  <si>
    <t>CENTS</t>
  </si>
  <si>
    <t>Short Returns</t>
  </si>
  <si>
    <t>1+(1/Underlying)</t>
  </si>
  <si>
    <t>use min=1, max= +INF,
to get portfolio replication on the RED line only</t>
  </si>
  <si>
    <t>$/share</t>
  </si>
  <si>
    <t>share/$</t>
  </si>
  <si>
    <t>Underlying^ -1</t>
  </si>
  <si>
    <t>min</t>
  </si>
  <si>
    <t>max</t>
  </si>
  <si>
    <t>https://en.wikipedia.org/wiki/2020_United_States_presidential_election</t>
  </si>
  <si>
    <t>https://www.google.com/search?q=2020+presidential+election</t>
  </si>
  <si>
    <t>Market Author can "get back" the "left over" money, this encourages him to set appropriate min/max as this refund value is highest when final value is far away from these boundaries.</t>
  </si>
  <si>
    <t>Current Forecast</t>
  </si>
  <si>
    <t>Bounded Continuum [ie, not "Yes or No"]</t>
  </si>
  <si>
    <t>"What was the 2020 Presidential Election popular vote, for Donald Trump (rounded to the nearest million people)?"</t>
  </si>
  <si>
    <t>End ( Nov 3rd, 2020 )</t>
  </si>
  <si>
    <t>Current DJIA Forecast</t>
  </si>
  <si>
    <t>Short Return</t>
  </si>
  <si>
    <t>Everything else is the same!</t>
  </si>
  <si>
    <t>Example</t>
  </si>
  <si>
    <t>…</t>
  </si>
  <si>
    <t>End (Feb 13, 2020)</t>
  </si>
  <si>
    <t>Replicating</t>
  </si>
  <si>
    <t xml:space="preserve"> </t>
  </si>
  <si>
    <t>DJIA</t>
  </si>
  <si>
    <t>(Price)</t>
  </si>
  <si>
    <t>Prices</t>
  </si>
  <si>
    <t>LONG</t>
  </si>
  <si>
    <t>SHORT</t>
  </si>
  <si>
    <t>Paul's Solver Workspace</t>
  </si>
  <si>
    <t>( From SVD-Consensus)</t>
  </si>
  <si>
    <t>Redeem those 10 shares, on Feb 13th.</t>
  </si>
  <si>
    <t>DJIA Example</t>
  </si>
  <si>
    <t>BitUSD Example (via math)</t>
  </si>
  <si>
    <t>Start with …</t>
  </si>
  <si>
    <t>The current Bitcoin exchange rate is "a" USD/BTC.</t>
  </si>
  <si>
    <t>The current share price of 1 BitUSD is "b" BTC/share.</t>
  </si>
  <si>
    <t>For example…</t>
  </si>
  <si>
    <t>..therefore…</t>
  </si>
  <si>
    <t xml:space="preserve"> BTC/share</t>
  </si>
  <si>
    <t xml:space="preserve"> USD/BTC</t>
  </si>
  <si>
    <t>… you end up with 40/ab shares.</t>
  </si>
  <si>
    <t>a --&gt; a2</t>
  </si>
  <si>
    <t>b --&gt; b2</t>
  </si>
  <si>
    <t>Eg, in the above example, we had a total effect of:</t>
  </si>
  <si>
    <t>…and use that USD to buy BTC, and then buy "shares" of BitUSD…</t>
  </si>
  <si>
    <t>Buy 10 shares, on Jan 17th.</t>
  </si>
  <si>
    <t>"In Bit-DJIA world"</t>
  </si>
  <si>
    <t>"In the real DJIA world"</t>
  </si>
  <si>
    <t>date</t>
  </si>
  <si>
    <t>Then the exchange rate changes.</t>
  </si>
  <si>
    <t>You sell the Shares for BTC…</t>
  </si>
  <si>
    <t>N/A</t>
  </si>
  <si>
    <t>+INF</t>
  </si>
  <si>
    <t xml:space="preserve"> [important! Do not allow this to go below the value 1]</t>
  </si>
  <si>
    <t>As you hopefully just saw, a and b change in concert and always offset each other.</t>
  </si>
  <si>
    <t>The quantity a*b is equal to 1.</t>
  </si>
  <si>
    <t>…and you have more BTC than before (.0044 instead of .0028).</t>
  </si>
  <si>
    <t>You quickly sell that BTC for USD…</t>
  </si>
  <si>
    <t>…and you end up with:</t>
  </si>
  <si>
    <t>"John Flannery to remain CEO of GE, Jan 1, 2019?"</t>
  </si>
  <si>
    <t>Marginal Probabilities</t>
  </si>
  <si>
    <t>Conditional (in $/GE-share)</t>
  </si>
  <si>
    <t>"What will the NYSE:GE closing price be on July 1st, 2019? (three decimal places, rounded, USD/Share)"</t>
  </si>
  <si>
    <t>(Net Cost of Creating this Market)</t>
  </si>
  <si>
    <t>Left over</t>
  </si>
  <si>
    <t>Left Over</t>
  </si>
  <si>
    <t>"In 2013, will the US go to war with Russia?"</t>
  </si>
  <si>
    <t>P(0,|,0)</t>
  </si>
  <si>
    <t>P(0,|,1)</t>
  </si>
  <si>
    <t>P(,1|0,)</t>
  </si>
  <si>
    <t>P(,0|1,)</t>
  </si>
  <si>
    <t>Q: What if I bet that "X causes Y", but X never happens? We will never know if I was right?</t>
  </si>
  <si>
    <t>"If Mitt Romney, then war with Russia"</t>
  </si>
  <si>
    <t>Not Romney</t>
  </si>
  <si>
    <t>Romney</t>
  </si>
  <si>
    <t>P(Romney|.)</t>
  </si>
  <si>
    <t>You can alter the portfolio that you buy, so as to most-target whatever you believe.</t>
  </si>
  <si>
    <t>Above, I show two different types of trades. One in RED and the other in YELLOW.</t>
  </si>
  <si>
    <t>They each move from the same starting position. One where s = (3, 9, 12, 14), and p=(10%, 20%, 30%, 40%).</t>
  </si>
  <si>
    <t>Target Prices - Paul Solver workspace</t>
  </si>
  <si>
    <t>"Mitt Romney to be elected US President in 2012?"</t>
  </si>
  <si>
    <t>Description</t>
  </si>
  <si>
    <t>Date</t>
  </si>
  <si>
    <t>Left over - For binary claims this amount will always be reduced to zero by traders.</t>
  </si>
  <si>
    <t>See "The Power of Prediction Markets" (the second document in the PM Sequence), for more information about these images.</t>
  </si>
  <si>
    <t>Reminder: See "Power of Prediction Markets" for</t>
  </si>
  <si>
    <t xml:space="preserve">  more information about these images.</t>
  </si>
  <si>
    <t>It is VERY easy to make call options. We just transform the underlying variable as needed, aka value = max( (x - strike), 0).</t>
  </si>
  <si>
    <t>Effectively, people *donated* to increase the liquidity of the market.</t>
  </si>
  <si>
    <t>Simple Example (Binary)</t>
  </si>
  <si>
    <t xml:space="preserve"> This document attempts to explain how trading works under Market Scoring Rules. Specifically, the Logarithmic Market Scoring Rule (LMSR).</t>
  </si>
  <si>
    <t>The classic prediction market -- "Will XYZ event happen? Yes or no?"</t>
  </si>
  <si>
    <t>Simple Example (Continuous)</t>
  </si>
  <si>
    <t>Implies that trader also believed that "If Not Romney, we more likely to have war."</t>
  </si>
  <si>
    <t>Your profit, if your information was accurate.</t>
  </si>
  <si>
    <t>"Purchase Prices"</t>
  </si>
  <si>
    <t>"Sale Prices"</t>
  </si>
  <si>
    <t>P(No Romney), given No War</t>
  </si>
  <si>
    <t>P(No Romney), given War</t>
  </si>
  <si>
    <t>P(No War), given Yes Romney</t>
  </si>
  <si>
    <t>P(War), given No Romney</t>
  </si>
  <si>
    <t>Changing the Conditional Only</t>
  </si>
  <si>
    <t>"I believed the previous 'Marginal (Edges of Box) Probabilites Were Right"</t>
  </si>
  <si>
    <t>Four Possible Worlds</t>
  </si>
  <si>
    <t>P(War|.)</t>
  </si>
  <si>
    <t>Pre-Existing Prices</t>
  </si>
  <si>
    <t>(Purchase Price)</t>
  </si>
  <si>
    <t>Your Beliefs</t>
  </si>
  <si>
    <t>(New Market Prices)</t>
  </si>
  <si>
    <r>
      <t xml:space="preserve">Option 1: I don't know about war in general (I think it </t>
    </r>
    <r>
      <rPr>
        <sz val="16"/>
        <rFont val="Calibri"/>
        <family val="2"/>
        <scheme val="minor"/>
      </rPr>
      <t>might indeed be</t>
    </r>
    <r>
      <rPr>
        <sz val="16"/>
        <color theme="1"/>
        <rFont val="Calibri"/>
        <family val="2"/>
        <scheme val="minor"/>
      </rPr>
      <t xml:space="preserve"> </t>
    </r>
    <r>
      <rPr>
        <sz val="16"/>
        <color theme="9" tint="-0.249977111117893"/>
        <rFont val="Calibri"/>
        <family val="2"/>
        <scheme val="minor"/>
      </rPr>
      <t>60%</t>
    </r>
    <r>
      <rPr>
        <sz val="16"/>
        <color theme="1"/>
        <rFont val="Calibri"/>
        <family val="2"/>
        <scheme val="minor"/>
      </rPr>
      <t>), but I do know that Romney is 'less war' than Obama.</t>
    </r>
  </si>
  <si>
    <t>Returns of this portfolio:</t>
  </si>
  <si>
    <t>Counterfactual Worlds</t>
  </si>
  <si>
    <t>"Bet-is-On" Worlds</t>
  </si>
  <si>
    <t>Proceeds when you ultimately sell the portfolio.</t>
  </si>
  <si>
    <t>Cost of buying the portfolio in the first place.</t>
  </si>
  <si>
    <t>Cost of buying the portfolio in the first place. (b-sensitive)</t>
  </si>
  <si>
    <t>Each of the four worlds generates a different Portfolio Return.</t>
  </si>
  <si>
    <t>The Counterfactual Case:</t>
  </si>
  <si>
    <t>If Obama *doesn't* take us to war (ie, 0,0), then you lose everything. If he does take us to war, you win +39.4% return.</t>
  </si>
  <si>
    <t>Pre-Trade Probabilities</t>
  </si>
  <si>
    <t>Post-Trade Probabilities</t>
  </si>
  <si>
    <t>To get more information on whether or not this is a good deal, we need to know more about the base liklihood of War and of Obama.</t>
  </si>
  <si>
    <t>"Dissociate" -- (Implies that the non-Romney candidates are coorespondingly 'more war').</t>
  </si>
  <si>
    <t>Preserves the Conditional: "I have no idea what this is and don't want to bet on it."</t>
  </si>
  <si>
    <t>"Avoid Square" -- (Implies that both Romney and War are both over-hyped events.)</t>
  </si>
  <si>
    <t>Preserves the Marginal: "I don't think Romney is more or less likely to win (as a result of my war-beliefs)."</t>
  </si>
  <si>
    <t>Shares you now own:</t>
  </si>
  <si>
    <t>But what if Mitt Romney doesn't win? Then what happens to the bet?</t>
  </si>
  <si>
    <t>"But the conditional probabilities were wrong."</t>
  </si>
  <si>
    <t>Note: the holdings of this portfolio, are pretty different from that of Option 1!</t>
  </si>
  <si>
    <t>If Romney does NOT win, then you *earn* a 5.7% return (on the whole portfolio)! That's even better than a refund.</t>
  </si>
  <si>
    <t>(This is why I recommend this method over Option 1.)</t>
  </si>
  <si>
    <t>Of course, this option is much less forgiving, if Romney *is* in fact elected and does take us to war. In that case you lose all your money.</t>
  </si>
  <si>
    <t>But that seems to be quite reasonable, to me.</t>
  </si>
  <si>
    <t>Option 2: Earn money if the counterfactual happens.</t>
  </si>
  <si>
    <t>A: You earn money, even if X doesn't happen. (You only ever lose money if X happens and Y does not.) -- See Option 2 (below).</t>
  </si>
  <si>
    <t>Getting the refund if NO Romney presidency.</t>
  </si>
  <si>
    <t>Futarchy</t>
  </si>
  <si>
    <r>
      <t xml:space="preserve">"Futarchy" is "governance via futures market". We cross a </t>
    </r>
    <r>
      <rPr>
        <b/>
        <sz val="11"/>
        <color theme="1"/>
        <rFont val="Calibri"/>
        <family val="2"/>
        <scheme val="minor"/>
      </rPr>
      <t>metric of accountabiliy</t>
    </r>
    <r>
      <rPr>
        <sz val="11"/>
        <color theme="1"/>
        <rFont val="Calibri"/>
        <family val="2"/>
        <scheme val="minor"/>
      </rPr>
      <t xml:space="preserve"> (an "objective function") with </t>
    </r>
    <r>
      <rPr>
        <b/>
        <sz val="11"/>
        <color theme="1"/>
        <rFont val="Calibri"/>
        <family val="2"/>
        <scheme val="minor"/>
      </rPr>
      <t>"decision variables"</t>
    </r>
    <r>
      <rPr>
        <sz val="11"/>
        <color theme="1"/>
        <rFont val="Calibri"/>
        <family val="2"/>
        <scheme val="minor"/>
      </rPr>
      <t>.</t>
    </r>
  </si>
  <si>
    <t>We observe the prices, and take whatever decision maximizes our metric.</t>
  </si>
  <si>
    <t>https://www.youtube.com/watch?v=XPUuF_dECVI</t>
  </si>
  <si>
    <t>https://www.youtube.com/watch?v=_6gEphTp2G4</t>
  </si>
  <si>
    <t>Gyroscope Metaphor</t>
  </si>
  <si>
    <t>https://en.wikipedia.org/wiki/Gyroscopic_autopilot</t>
  </si>
  <si>
    <t>Gyroscopes are funny devices that stubbornly maintain a given direction, regardless of outside forces acting upon them.</t>
  </si>
  <si>
    <t>Just as the gryoscope maintains a constant direction, Continuum Futarchy can ensure that a given metric hits a certain level.</t>
  </si>
  <si>
    <t>Today, gyroscopes are used in every aircraft autopilot.</t>
  </si>
  <si>
    <t>"What will year 2020 nominal GDP be in the United States? (three decimal places, rounded, trillions of USD)"</t>
  </si>
  <si>
    <t>"What was the average highpower-money-supply during 2020? (three decimal places, rounded, trillions of USD)"</t>
  </si>
  <si>
    <t>http://www.BitcoinHivemind.com/papers/sumner-hanson-quartet.xlsx</t>
  </si>
  <si>
    <t>http://www.BitcoinHivemind.com/papers/sumner-hanson-quartet.pdf</t>
  </si>
  <si>
    <t>xlsx</t>
  </si>
  <si>
    <t>pdf</t>
  </si>
  <si>
    <t>Thus, they can very precisely measure these outside forces (via subtraction), and report back on them.</t>
  </si>
  <si>
    <t xml:space="preserve"> (They are also in nearly all cell phones, so as to measure the tilt and orientation of the phone. And in the Wii videogame controller. And cruise ships have billiard tables that are leveled via gryoscope.)</t>
  </si>
  <si>
    <t>Continuum Futarchy</t>
  </si>
  <si>
    <t>For example, Continuum Futarchy can be used in central bank nGDP targeting or unemployment/CPI targeting.</t>
  </si>
  <si>
    <r>
      <t xml:space="preserve">As before, Futarchy crosses a </t>
    </r>
    <r>
      <rPr>
        <b/>
        <sz val="11"/>
        <color theme="1"/>
        <rFont val="Calibri"/>
        <family val="2"/>
        <scheme val="minor"/>
      </rPr>
      <t>metric of accountabiliy</t>
    </r>
    <r>
      <rPr>
        <sz val="11"/>
        <color theme="1"/>
        <rFont val="Calibri"/>
        <family val="2"/>
        <scheme val="minor"/>
      </rPr>
      <t xml:space="preserve"> (an "objective function") with </t>
    </r>
    <r>
      <rPr>
        <b/>
        <sz val="11"/>
        <color theme="1"/>
        <rFont val="Calibri"/>
        <family val="2"/>
        <scheme val="minor"/>
      </rPr>
      <t>"decision variables"</t>
    </r>
    <r>
      <rPr>
        <sz val="11"/>
        <color theme="1"/>
        <rFont val="Calibri"/>
        <family val="2"/>
        <scheme val="minor"/>
      </rPr>
      <t>.</t>
    </r>
  </si>
  <si>
    <t>Traders can profit via:</t>
  </si>
  <si>
    <r>
      <t xml:space="preserve">* The </t>
    </r>
    <r>
      <rPr>
        <i/>
        <sz val="11"/>
        <color theme="1"/>
        <rFont val="Calibri"/>
        <family val="2"/>
        <scheme val="minor"/>
      </rPr>
      <t>incompetence</t>
    </r>
    <r>
      <rPr>
        <sz val="11"/>
        <color theme="1"/>
        <rFont val="Calibri"/>
        <family val="2"/>
        <scheme val="minor"/>
      </rPr>
      <t xml:space="preserve"> of the org. (For example, the trader may know that the org *should* set DV to a certain value, or that the DV-OF relationship is a certain way, but the trader may also know that the org refuses to believe this and will underperform as a result.)</t>
    </r>
  </si>
  <si>
    <t>See my full writeup for this example:</t>
  </si>
  <si>
    <t>Above: Physics professor demonstrating a gyroscope.</t>
  </si>
  <si>
    <t>https://www.youtube.com/watch?v=Cbfe2_2DDc0</t>
  </si>
  <si>
    <t>Above: A children's bike with a battery-powered gyro in the front wheel -- the bike falls over VERY slowly.</t>
  </si>
  <si>
    <t>YouTube Videos About Gyroscopes:</t>
  </si>
  <si>
    <t>* Correcting errors in the forecast for the decision-variable. (For example: a trader knows that D will increase, but the market does not yet know this).</t>
  </si>
  <si>
    <r>
      <t xml:space="preserve">* Correcting errors in the forecast for the objective function -- </t>
    </r>
    <r>
      <rPr>
        <b/>
        <sz val="11"/>
        <color theme="1"/>
        <rFont val="Calibri"/>
        <family val="2"/>
        <scheme val="minor"/>
      </rPr>
      <t>even if</t>
    </r>
    <r>
      <rPr>
        <sz val="11"/>
        <color theme="1"/>
        <rFont val="Calibri"/>
        <family val="2"/>
        <scheme val="minor"/>
      </rPr>
      <t xml:space="preserve"> . (For example, the trader knows that, in the near future, the objective-forecast will drop, but that the organization will later respond and restore it to its target by altering D.)</t>
    </r>
  </si>
  <si>
    <t>They are hard to explain, without relying on the Gyroscope Metaphor (below).</t>
  </si>
  <si>
    <t>Above: Astronaut in space poking a gryroscope -- the gryo maintains its axis of rotation.</t>
  </si>
  <si>
    <t>Here, decision-outcomes can be continuous -- they do not need to be binary (Yes-or-No) decisions.</t>
  </si>
  <si>
    <t>This market *can* produce some interesting effects.</t>
  </si>
  <si>
    <r>
      <t xml:space="preserve">Other ( </t>
    </r>
    <r>
      <rPr>
        <sz val="11"/>
        <color theme="1"/>
        <rFont val="Calibri"/>
        <family val="2"/>
      </rPr>
      <t>≤</t>
    </r>
    <r>
      <rPr>
        <sz val="11"/>
        <color theme="1"/>
        <rFont val="Calibri"/>
        <family val="2"/>
        <scheme val="minor"/>
      </rPr>
      <t>40)</t>
    </r>
  </si>
  <si>
    <t>≥60</t>
  </si>
  <si>
    <t>d3</t>
  </si>
  <si>
    <t>2 states</t>
  </si>
  <si>
    <t>d4</t>
  </si>
  <si>
    <t>(Pester the BLS to keep a 4yr rolling average)</t>
  </si>
  <si>
    <t>d5</t>
  </si>
  <si>
    <t>"Jobs"</t>
  </si>
  <si>
    <t>"Cost of Govt"</t>
  </si>
  <si>
    <t>"Prosperity"</t>
  </si>
  <si>
    <t>"Stewardship"</t>
  </si>
  <si>
    <t>d6</t>
  </si>
  <si>
    <t>41-59</t>
  </si>
  <si>
    <t>3 states</t>
  </si>
  <si>
    <t>Total Cost</t>
  </si>
  <si>
    <t>So it is extremely liquidity-efficient, to pile all the measurements into the same market.</t>
  </si>
  <si>
    <t>"One 3x3 grid per measurement"</t>
  </si>
  <si>
    <t>q Markets</t>
  </si>
  <si>
    <t>N (states)</t>
  </si>
  <si>
    <t>log(N)</t>
  </si>
  <si>
    <t>"Pile all four measurements into a hypercube, then place it into the 3x3 grid."</t>
  </si>
  <si>
    <t>Aside</t>
  </si>
  <si>
    <r>
      <t xml:space="preserve">Who controls </t>
    </r>
    <r>
      <rPr>
        <b/>
        <sz val="11"/>
        <color theme="1"/>
        <rFont val="Calibri"/>
        <family val="2"/>
        <scheme val="minor"/>
      </rPr>
      <t>Congress</t>
    </r>
    <r>
      <rPr>
        <sz val="11"/>
        <color theme="1"/>
        <rFont val="Calibri"/>
        <family val="2"/>
        <scheme val="minor"/>
      </rPr>
      <t>, after the 2020 election? (Measure in Feb 2021)</t>
    </r>
  </si>
  <si>
    <t>("Controls" means a Senate supermajority (≥60) AND House majority (≥218).)</t>
  </si>
  <si>
    <t>Republican Party</t>
  </si>
  <si>
    <t>Democratic Party</t>
  </si>
  <si>
    <t>no one</t>
  </si>
  <si>
    <r>
      <t xml:space="preserve">Who will control the office of </t>
    </r>
    <r>
      <rPr>
        <b/>
        <sz val="11"/>
        <color theme="1"/>
        <rFont val="Calibri"/>
        <family val="2"/>
        <scheme val="minor"/>
      </rPr>
      <t>President</t>
    </r>
    <r>
      <rPr>
        <sz val="11"/>
        <color theme="1"/>
        <rFont val="Calibri"/>
        <family val="2"/>
        <scheme val="minor"/>
      </rPr>
      <t>, after 2020 election? (Measure in Feb 2021)</t>
    </r>
  </si>
  <si>
    <t>Republican</t>
  </si>
  <si>
    <t>Democrat</t>
  </si>
  <si>
    <t>Someone Else</t>
  </si>
  <si>
    <t>d1 and d2 are the decision variables, they form a 3x3 grid.</t>
  </si>
  <si>
    <t>[d1,d2,d3,d4,d5,d6]</t>
  </si>
  <si>
    <t xml:space="preserve"> State 1</t>
  </si>
  <si>
    <t xml:space="preserve"> State 2</t>
  </si>
  <si>
    <t xml:space="preserve"> State 3</t>
  </si>
  <si>
    <t xml:space="preserve"> State 4</t>
  </si>
  <si>
    <t xml:space="preserve"> State 5</t>
  </si>
  <si>
    <t xml:space="preserve"> State 6</t>
  </si>
  <si>
    <t xml:space="preserve"> State 7</t>
  </si>
  <si>
    <t xml:space="preserve"> State 8</t>
  </si>
  <si>
    <t xml:space="preserve"> State 9</t>
  </si>
  <si>
    <t xml:space="preserve"> State 10</t>
  </si>
  <si>
    <t xml:space="preserve"> State 11</t>
  </si>
  <si>
    <t xml:space="preserve"> State 12</t>
  </si>
  <si>
    <t xml:space="preserve"> State 13</t>
  </si>
  <si>
    <t xml:space="preserve"> State 14</t>
  </si>
  <si>
    <t xml:space="preserve"> State 15</t>
  </si>
  <si>
    <t xml:space="preserve"> State 16</t>
  </si>
  <si>
    <t xml:space="preserve"> State 17</t>
  </si>
  <si>
    <t xml:space="preserve"> State 18</t>
  </si>
  <si>
    <t xml:space="preserve"> State 19</t>
  </si>
  <si>
    <t xml:space="preserve"> State 20</t>
  </si>
  <si>
    <t xml:space="preserve"> State 21</t>
  </si>
  <si>
    <t xml:space="preserve"> State 22</t>
  </si>
  <si>
    <t xml:space="preserve"> State 23</t>
  </si>
  <si>
    <t xml:space="preserve"> State 24</t>
  </si>
  <si>
    <t xml:space="preserve"> State 25</t>
  </si>
  <si>
    <t xml:space="preserve"> State 26</t>
  </si>
  <si>
    <t xml:space="preserve"> State 27</t>
  </si>
  <si>
    <t xml:space="preserve"> State 28</t>
  </si>
  <si>
    <t xml:space="preserve"> State 29</t>
  </si>
  <si>
    <t xml:space="preserve"> State 30</t>
  </si>
  <si>
    <t xml:space="preserve"> State 31</t>
  </si>
  <si>
    <t xml:space="preserve"> State 32</t>
  </si>
  <si>
    <t xml:space="preserve"> State 33</t>
  </si>
  <si>
    <t xml:space="preserve"> State 34</t>
  </si>
  <si>
    <t xml:space="preserve"> State 35</t>
  </si>
  <si>
    <t xml:space="preserve"> State 36</t>
  </si>
  <si>
    <t xml:space="preserve"> State 37</t>
  </si>
  <si>
    <t xml:space="preserve"> State 38</t>
  </si>
  <si>
    <t xml:space="preserve"> State 39</t>
  </si>
  <si>
    <t xml:space="preserve"> State 40</t>
  </si>
  <si>
    <t xml:space="preserve"> State 41</t>
  </si>
  <si>
    <t xml:space="preserve"> State 42</t>
  </si>
  <si>
    <t xml:space="preserve"> State 43</t>
  </si>
  <si>
    <t xml:space="preserve"> State 44</t>
  </si>
  <si>
    <t xml:space="preserve"> State 45</t>
  </si>
  <si>
    <t xml:space="preserve"> State 46</t>
  </si>
  <si>
    <t xml:space="preserve"> State 47</t>
  </si>
  <si>
    <t xml:space="preserve"> State 48</t>
  </si>
  <si>
    <t xml:space="preserve"> State 49</t>
  </si>
  <si>
    <t xml:space="preserve"> State 50</t>
  </si>
  <si>
    <t xml:space="preserve"> State 51</t>
  </si>
  <si>
    <t xml:space="preserve"> State 52</t>
  </si>
  <si>
    <t xml:space="preserve"> State 53</t>
  </si>
  <si>
    <t xml:space="preserve"> State 54</t>
  </si>
  <si>
    <t xml:space="preserve"> State 55</t>
  </si>
  <si>
    <t xml:space="preserve"> State 56</t>
  </si>
  <si>
    <t xml:space="preserve"> State 57</t>
  </si>
  <si>
    <t xml:space="preserve"> State 58</t>
  </si>
  <si>
    <t xml:space="preserve"> State 59</t>
  </si>
  <si>
    <t xml:space="preserve"> State 60</t>
  </si>
  <si>
    <t xml:space="preserve"> State 61</t>
  </si>
  <si>
    <t xml:space="preserve"> State 62</t>
  </si>
  <si>
    <t xml:space="preserve"> State 63</t>
  </si>
  <si>
    <t xml:space="preserve"> State 64</t>
  </si>
  <si>
    <t xml:space="preserve"> State 65</t>
  </si>
  <si>
    <t xml:space="preserve"> State 66</t>
  </si>
  <si>
    <t xml:space="preserve"> State 67</t>
  </si>
  <si>
    <t xml:space="preserve"> State 68</t>
  </si>
  <si>
    <t xml:space="preserve"> State 69</t>
  </si>
  <si>
    <t xml:space="preserve"> State 70</t>
  </si>
  <si>
    <t xml:space="preserve"> State 71</t>
  </si>
  <si>
    <t xml:space="preserve"> State 72</t>
  </si>
  <si>
    <t xml:space="preserve"> State 73</t>
  </si>
  <si>
    <t xml:space="preserve"> State 74</t>
  </si>
  <si>
    <t xml:space="preserve"> State 75</t>
  </si>
  <si>
    <t xml:space="preserve"> State 76</t>
  </si>
  <si>
    <t xml:space="preserve"> State 77</t>
  </si>
  <si>
    <t xml:space="preserve"> State 78</t>
  </si>
  <si>
    <t xml:space="preserve"> State 79</t>
  </si>
  <si>
    <t xml:space="preserve"> State 80</t>
  </si>
  <si>
    <t xml:space="preserve"> State 81</t>
  </si>
  <si>
    <t xml:space="preserve"> State 82</t>
  </si>
  <si>
    <t xml:space="preserve"> State 83</t>
  </si>
  <si>
    <t xml:space="preserve"> State 84</t>
  </si>
  <si>
    <t xml:space="preserve"> State 85</t>
  </si>
  <si>
    <t xml:space="preserve"> State 86</t>
  </si>
  <si>
    <t xml:space="preserve"> State 87</t>
  </si>
  <si>
    <t xml:space="preserve"> State 88</t>
  </si>
  <si>
    <t xml:space="preserve"> State 89</t>
  </si>
  <si>
    <t xml:space="preserve"> State 90</t>
  </si>
  <si>
    <t xml:space="preserve"> State 91</t>
  </si>
  <si>
    <t xml:space="preserve"> State 92</t>
  </si>
  <si>
    <t xml:space="preserve"> State 93</t>
  </si>
  <si>
    <t xml:space="preserve"> State 94</t>
  </si>
  <si>
    <t xml:space="preserve"> State 95</t>
  </si>
  <si>
    <t xml:space="preserve"> State 96</t>
  </si>
  <si>
    <t xml:space="preserve"> State 97</t>
  </si>
  <si>
    <t xml:space="preserve"> State 98</t>
  </si>
  <si>
    <t xml:space="preserve"> State 99</t>
  </si>
  <si>
    <t xml:space="preserve"> State 100</t>
  </si>
  <si>
    <t xml:space="preserve"> State 101</t>
  </si>
  <si>
    <t xml:space="preserve"> State 102</t>
  </si>
  <si>
    <t xml:space="preserve"> State 103</t>
  </si>
  <si>
    <t xml:space="preserve"> State 104</t>
  </si>
  <si>
    <t xml:space="preserve"> State 105</t>
  </si>
  <si>
    <t xml:space="preserve"> State 106</t>
  </si>
  <si>
    <t xml:space="preserve"> State 107</t>
  </si>
  <si>
    <t xml:space="preserve"> State 108</t>
  </si>
  <si>
    <t xml:space="preserve"> State 109</t>
  </si>
  <si>
    <t xml:space="preserve"> State 110</t>
  </si>
  <si>
    <t xml:space="preserve"> State 111</t>
  </si>
  <si>
    <t xml:space="preserve"> State 112</t>
  </si>
  <si>
    <t xml:space="preserve"> State 113</t>
  </si>
  <si>
    <t xml:space="preserve"> State 114</t>
  </si>
  <si>
    <t xml:space="preserve"> State 115</t>
  </si>
  <si>
    <t xml:space="preserve"> State 116</t>
  </si>
  <si>
    <t xml:space="preserve"> State 117</t>
  </si>
  <si>
    <t xml:space="preserve"> State 118</t>
  </si>
  <si>
    <t xml:space="preserve"> State 119</t>
  </si>
  <si>
    <t xml:space="preserve"> State 120</t>
  </si>
  <si>
    <t xml:space="preserve"> State 121</t>
  </si>
  <si>
    <t xml:space="preserve"> State 122</t>
  </si>
  <si>
    <t xml:space="preserve"> State 123</t>
  </si>
  <si>
    <t xml:space="preserve"> State 124</t>
  </si>
  <si>
    <t xml:space="preserve"> State 125</t>
  </si>
  <si>
    <t xml:space="preserve"> State 126</t>
  </si>
  <si>
    <t xml:space="preserve"> State 127</t>
  </si>
  <si>
    <t xml:space="preserve"> State 128</t>
  </si>
  <si>
    <t xml:space="preserve"> State 129</t>
  </si>
  <si>
    <t xml:space="preserve"> State 130</t>
  </si>
  <si>
    <t xml:space="preserve"> State 131</t>
  </si>
  <si>
    <t xml:space="preserve"> State 132</t>
  </si>
  <si>
    <t xml:space="preserve"> State 133</t>
  </si>
  <si>
    <t xml:space="preserve"> State 134</t>
  </si>
  <si>
    <t xml:space="preserve"> State 135</t>
  </si>
  <si>
    <t xml:space="preserve"> State 136</t>
  </si>
  <si>
    <t xml:space="preserve"> State 137</t>
  </si>
  <si>
    <t xml:space="preserve"> State 138</t>
  </si>
  <si>
    <t xml:space="preserve"> State 139</t>
  </si>
  <si>
    <t xml:space="preserve"> State 140</t>
  </si>
  <si>
    <t xml:space="preserve"> State 141</t>
  </si>
  <si>
    <t xml:space="preserve"> State 142</t>
  </si>
  <si>
    <t xml:space="preserve"> State 143</t>
  </si>
  <si>
    <t xml:space="preserve"> State 144</t>
  </si>
  <si>
    <t>|</t>
  </si>
  <si>
    <t>E(s/b)</t>
  </si>
  <si>
    <t>Some time in 2025.</t>
  </si>
  <si>
    <t>Dem Congress</t>
  </si>
  <si>
    <t>Mixed/Neutral Congress</t>
  </si>
  <si>
    <t>Republican Congress</t>
  </si>
  <si>
    <t>Dem President</t>
  </si>
  <si>
    <t>Rep President</t>
  </si>
  <si>
    <t>Other President</t>
  </si>
  <si>
    <t>Lower Govt Spending</t>
  </si>
  <si>
    <t>Higher Govt Spending</t>
  </si>
  <si>
    <t>Lower Employment</t>
  </si>
  <si>
    <t>Higher Employment</t>
  </si>
  <si>
    <t>Lower Land-Value</t>
  </si>
  <si>
    <t>Higher Land-Value</t>
  </si>
  <si>
    <t>Lower THI</t>
  </si>
  <si>
    <t>Higher THI</t>
  </si>
  <si>
    <t>DP</t>
  </si>
  <si>
    <t>OP</t>
  </si>
  <si>
    <t>RP</t>
  </si>
  <si>
    <t>LGS</t>
  </si>
  <si>
    <t>HGS</t>
  </si>
  <si>
    <t>LE</t>
  </si>
  <si>
    <t>HE</t>
  </si>
  <si>
    <t>LLV</t>
  </si>
  <si>
    <t>HLV</t>
  </si>
  <si>
    <t>LI</t>
  </si>
  <si>
    <t>HI</t>
  </si>
  <si>
    <t>DC</t>
  </si>
  <si>
    <t>MC</t>
  </si>
  <si>
    <t>RC</t>
  </si>
  <si>
    <t>Conditionals</t>
  </si>
  <si>
    <t>Marginals</t>
  </si>
  <si>
    <t xml:space="preserve">DC ∩ DP </t>
  </si>
  <si>
    <t>DC ∩ OP</t>
  </si>
  <si>
    <t>DC ∩ RP</t>
  </si>
  <si>
    <t xml:space="preserve">MC ∩ DP </t>
  </si>
  <si>
    <t>MC ∩ OP</t>
  </si>
  <si>
    <t>MC ∩ RP</t>
  </si>
  <si>
    <t xml:space="preserve">RC ∩ DP </t>
  </si>
  <si>
    <t>RC ∩ OP</t>
  </si>
  <si>
    <t>RC ∩ RP</t>
  </si>
  <si>
    <t>The Nine Cases</t>
  </si>
  <si>
    <t>C1</t>
  </si>
  <si>
    <t>C2</t>
  </si>
  <si>
    <t>C3</t>
  </si>
  <si>
    <t>C4</t>
  </si>
  <si>
    <t>C5</t>
  </si>
  <si>
    <t>C6</t>
  </si>
  <si>
    <t>C7</t>
  </si>
  <si>
    <t>C8</t>
  </si>
  <si>
    <t>C9</t>
  </si>
  <si>
    <t>Metrics</t>
  </si>
  <si>
    <t>Dem Pres</t>
  </si>
  <si>
    <t>Other Pres</t>
  </si>
  <si>
    <t>Rep Pres</t>
  </si>
  <si>
    <t>Other Congress</t>
  </si>
  <si>
    <t>Rep Congress</t>
  </si>
  <si>
    <t>d3-d6 are the metrics of accountability, they form a 4-cube</t>
  </si>
  <si>
    <t>(Use a rolling average and select the 2025 value).</t>
  </si>
  <si>
    <t>(Easily measured via IRS / FED / OCED )</t>
  </si>
  <si>
    <t>https://stats.oecd.org/index.aspx?DataSetCode=PDB_LV</t>
  </si>
  <si>
    <t>https://www.bls.gov/cps/</t>
  </si>
  <si>
    <r>
      <t xml:space="preserve">Incredibly, one market with 144 states, is over </t>
    </r>
    <r>
      <rPr>
        <i/>
        <sz val="11"/>
        <color theme="0" tint="-0.499984740745262"/>
        <rFont val="Calibri"/>
        <family val="2"/>
        <scheme val="minor"/>
      </rPr>
      <t>twice</t>
    </r>
    <r>
      <rPr>
        <sz val="11"/>
        <color theme="0" tint="-0.499984740745262"/>
        <rFont val="Calibri"/>
        <family val="2"/>
        <scheme val="minor"/>
      </rPr>
      <t xml:space="preserve"> as inexpensive, as four markets with 18 states.</t>
    </r>
  </si>
  <si>
    <t>(This is not widely known, but I think it could be with a little effort.)</t>
  </si>
  <si>
    <t>https://www.reit.com/data-research/research/nareit-research/estimating-size-commercial-real-estate-market-us#:~:text=Estimating%20the%20Size%20of%20the%20Commercial%20Real%20Estate%20Market%20in%20the%20U.S.,-The%20total%20size&amp;text=Nareit%20estimates%20that%20the%202018,mid%2Dpoint%20of%20%2416%20trillion.</t>
  </si>
  <si>
    <t>https://www.quora.com/What-is-the-approximate-combined-market-value-of-all-real-estate-in-the-United-States</t>
  </si>
  <si>
    <t>https://en.wikipedia.org/wiki/Financial_position_of_the_United_States</t>
  </si>
  <si>
    <t>https://www.citylab.com/equity/2017/11/the-staggering-value-of-urban-land/544706/</t>
  </si>
  <si>
    <t>https://www.citylab.com/equity/2015/04/the-real-role-of-land-values-in-the-united-states/389862/</t>
  </si>
  <si>
    <r>
      <t xml:space="preserve">Total </t>
    </r>
    <r>
      <rPr>
        <b/>
        <sz val="11"/>
        <color theme="1"/>
        <rFont val="Calibri"/>
        <family val="2"/>
        <scheme val="minor"/>
      </rPr>
      <t>land-value</t>
    </r>
    <r>
      <rPr>
        <sz val="11"/>
        <color theme="1"/>
        <rFont val="Calibri"/>
        <family val="2"/>
        <scheme val="minor"/>
      </rPr>
      <t xml:space="preserve"> of American real estate, as of Nov 1st 2024? ($Trillion, Measure in July 2025)</t>
    </r>
  </si>
  <si>
    <t>USD, Current prices</t>
  </si>
  <si>
    <r>
      <t xml:space="preserve">Average per capita </t>
    </r>
    <r>
      <rPr>
        <b/>
        <sz val="11"/>
        <color theme="1"/>
        <rFont val="Calibri"/>
        <family val="2"/>
        <scheme val="minor"/>
      </rPr>
      <t>take home income</t>
    </r>
    <r>
      <rPr>
        <sz val="11"/>
        <color theme="1"/>
        <rFont val="Calibri"/>
        <family val="2"/>
        <scheme val="minor"/>
      </rPr>
      <t xml:space="preserve"> (incl. government transfers) (2020-2024)? (Measure in July 2025)</t>
    </r>
  </si>
  <si>
    <t>https://en.wikipedia.org/wiki/Government_spending#:~:text=Per%20capita%20spending,-In%202010%20national&amp;text=The%20federal%20government%20of%20the%20United%20States%20spent%20%2411%2C041%20per%20person.&amp;text=The%20figures%20below%20of%2042,was%20%2422%2C726%20in%20the%20U.S.</t>
  </si>
  <si>
    <t>range</t>
  </si>
  <si>
    <t>USA Elections Example</t>
  </si>
  <si>
    <r>
      <t xml:space="preserve">Remember: "Futarchy" is "governance via futures market". We cross a </t>
    </r>
    <r>
      <rPr>
        <b/>
        <sz val="11"/>
        <color theme="1"/>
        <rFont val="Calibri"/>
        <family val="2"/>
        <scheme val="minor"/>
      </rPr>
      <t>metric of accountabiliy</t>
    </r>
    <r>
      <rPr>
        <sz val="11"/>
        <color theme="1"/>
        <rFont val="Calibri"/>
        <family val="2"/>
        <scheme val="minor"/>
      </rPr>
      <t xml:space="preserve"> (an "objective function") with </t>
    </r>
    <r>
      <rPr>
        <b/>
        <sz val="11"/>
        <color theme="1"/>
        <rFont val="Calibri"/>
        <family val="2"/>
        <scheme val="minor"/>
      </rPr>
      <t>"decision variables"</t>
    </r>
    <r>
      <rPr>
        <sz val="11"/>
        <color theme="1"/>
        <rFont val="Calibri"/>
        <family val="2"/>
        <scheme val="minor"/>
      </rPr>
      <t>.</t>
    </r>
  </si>
  <si>
    <t>government spending</t>
  </si>
  <si>
    <t>employment rate</t>
  </si>
  <si>
    <t>random numbers, for example only</t>
  </si>
  <si>
    <t>land value ($T)</t>
  </si>
  <si>
    <t>avg. take home income</t>
  </si>
  <si>
    <t>OF</t>
  </si>
  <si>
    <t>Shares purchased</t>
  </si>
  <si>
    <t>If a trader corrects a measure by 1% of the span, how much can they unilaterally earn?</t>
  </si>
  <si>
    <t>Let us choose 25% --&gt; 26%</t>
  </si>
  <si>
    <t>Assume that the destination prices, are the final ones. Eventually letting the trader sell everything.</t>
  </si>
  <si>
    <t>Cost (from LMSR this time...)</t>
  </si>
  <si>
    <t>P</t>
  </si>
  <si>
    <t>CE</t>
  </si>
  <si>
    <t>Liquidity Research</t>
  </si>
  <si>
    <t>Parameter Deltas</t>
  </si>
  <si>
    <t>Geometric Deltas</t>
  </si>
  <si>
    <t>OF2</t>
  </si>
  <si>
    <t>Solver1</t>
  </si>
  <si>
    <t>Solver2</t>
  </si>
  <si>
    <t>Solver3</t>
  </si>
  <si>
    <r>
      <t xml:space="preserve">This one requires more money, has more-targeted beliefs, and gives less of a refund. I </t>
    </r>
    <r>
      <rPr>
        <b/>
        <sz val="11"/>
        <color theme="1"/>
        <rFont val="Calibri"/>
        <family val="2"/>
        <scheme val="minor"/>
      </rPr>
      <t>don't</t>
    </r>
    <r>
      <rPr>
        <sz val="11"/>
        <color theme="1"/>
        <rFont val="Calibri"/>
        <family val="2"/>
        <scheme val="minor"/>
      </rPr>
      <t xml:space="preserve"> recommend it. See below for a better option.</t>
    </r>
  </si>
  <si>
    <t>Preserving the Outside Margins</t>
  </si>
  <si>
    <t>Changing some Outside Margins</t>
  </si>
  <si>
    <r>
      <t xml:space="preserve">Implies that trader also believed that "War </t>
    </r>
    <r>
      <rPr>
        <i/>
        <sz val="11"/>
        <color theme="1"/>
        <rFont val="Calibri"/>
        <family val="2"/>
        <scheme val="minor"/>
      </rPr>
      <t>in general</t>
    </r>
    <r>
      <rPr>
        <sz val="11"/>
        <color theme="1"/>
        <rFont val="Calibri"/>
        <family val="2"/>
        <scheme val="minor"/>
      </rPr>
      <t xml:space="preserve"> is falsely expected, because others erroneously expect joint(Romney, War)".</t>
    </r>
  </si>
  <si>
    <t>Neither</t>
  </si>
  <si>
    <t>Both</t>
  </si>
  <si>
    <t>R, no W</t>
  </si>
  <si>
    <t>W, no R</t>
  </si>
  <si>
    <t>P(Not War)</t>
  </si>
  <si>
    <t>P(War)</t>
  </si>
  <si>
    <t>**These cases are the ones of interest to the Trader. Now instead of a refund, they will either earn big or lose big.</t>
  </si>
  <si>
    <t>*These are the "counterfactual cases". The Trader bet "If Romney reelected, war would…" yet Romeny was NOT elected so we'll never know.</t>
  </si>
  <si>
    <t>No Romney *</t>
  </si>
  <si>
    <t>The General Case</t>
  </si>
  <si>
    <t>W1</t>
  </si>
  <si>
    <t>W2</t>
  </si>
  <si>
    <t>W3</t>
  </si>
  <si>
    <t>W4</t>
  </si>
  <si>
    <t>Down</t>
  </si>
  <si>
    <t>Up</t>
  </si>
  <si>
    <t>Comment</t>
  </si>
  <si>
    <t>Buying exactly one share of each state, will always cost a total of one dollar.</t>
  </si>
  <si>
    <t>(always equals 1.00)</t>
  </si>
  <si>
    <t>1 + (x)</t>
  </si>
  <si>
    <t>So, if the Trader's belief is that "If W3, then metric will go up.", then each $1 of the portfolio would be spent as follows…</t>
  </si>
  <si>
    <t>…where "x" is the extra shares of [Up,W3] that can be bought by forgoing any [Down,W3] shares.</t>
  </si>
  <si>
    <t>p5</t>
  </si>
  <si>
    <t>p6</t>
  </si>
  <si>
    <t>p7</t>
  </si>
  <si>
    <t>p8</t>
  </si>
  <si>
    <t>Say we have a market with 4 possibilities, and one measurement.</t>
  </si>
  <si>
    <t>It will be shaped like this, with the 4 independent "worlds" on the horizontal axis:</t>
  </si>
  <si>
    <t>Here are some Example prices:</t>
  </si>
  <si>
    <t>(This is always the case, no matter the market's size or shape.)</t>
  </si>
  <si>
    <t>Our general "counterfactual refund strategy" will *start* at this fully-neutral position, and then modify it to bet *against* what the Trader thinks will not happen.</t>
  </si>
  <si>
    <t>Q</t>
  </si>
  <si>
    <t>…then the Trader will always have exactly 1 share of each q-share, exactly 0 shares of the single b-state, and exactly (a+b)/a shares of the single a-state.</t>
  </si>
  <si>
    <t>Recall that we spent exactly $1 total. And we have one share of each [W2,Up] and [W2,Down].</t>
  </si>
  <si>
    <t xml:space="preserve">No matter where the Up-Down metric of World-2 ultimately ends up, Trader has one share of each Up and Down. So every cent lost by Up (for example) is a cent that will be earned by Down. </t>
  </si>
  <si>
    <t>In World-2, Trader is therefore guaranteed to end up with $1.</t>
  </si>
  <si>
    <t>This exact same logic applies for all Q-worlds: W1, W2, and W4. Trader gets their $1 fully refunded in those cases. (Even in cases where the metric cannot be measured, and expires .50-.50 !)</t>
  </si>
  <si>
    <t>Now, what if we enter a W-world? World 2, for example:</t>
  </si>
  <si>
    <t>Let us return to our example:</t>
  </si>
  <si>
    <t>…by entering W3, the other shares become worthless…</t>
  </si>
  <si>
    <t>…and the W3 shares *must* necessarily gain value until total value sums to 1:</t>
  </si>
  <si>
    <t>Counterfactual World = Full Refund</t>
  </si>
  <si>
    <t>Recall that Trade owns zero b-shares, because they spent that money on extra a-shares.</t>
  </si>
  <si>
    <t>Merely by entering W3, these a-shares MUST necessarily increase in value, from a, to (a)/(a+b).</t>
  </si>
  <si>
    <t>Thus, price of a-shares = (a)/(a+b) .</t>
  </si>
  <si>
    <t>Combine these two pieces of information: Trader owns (a+b)/a shares, that are each worth (a)/(a+b) dollars-per-share.</t>
  </si>
  <si>
    <t>Thus, we see that the portfolio is worth exactly $1 in W3.</t>
  </si>
  <si>
    <t>The Desired Exposure</t>
  </si>
  <si>
    <t>The Non-Counterfactual World</t>
  </si>
  <si>
    <t>Now, what if we instead enter W3, the single non-Q World?</t>
  </si>
  <si>
    <r>
      <t xml:space="preserve">Unlike in the Q-worlds (W1,W2,W4), however, in W3-world, the portfolio will </t>
    </r>
    <r>
      <rPr>
        <i/>
        <u/>
        <sz val="11"/>
        <color theme="1"/>
        <rFont val="Calibri"/>
        <family val="2"/>
        <scheme val="minor"/>
      </rPr>
      <t>not</t>
    </r>
    <r>
      <rPr>
        <sz val="11"/>
        <color theme="1"/>
        <rFont val="Calibri"/>
        <family val="2"/>
        <scheme val="minor"/>
      </rPr>
      <t xml:space="preserve"> be worth $1 no matter what.</t>
    </r>
  </si>
  <si>
    <t>See for yourself, what happens when the [Up,W3] price decreases from 0.25 to 0.24, or from 0.24 to 0.23:</t>
  </si>
  <si>
    <t>Each (1/100)th decrease in the underlying metric, causes "Up" shares to lose by 0.01, and causes the portfolio to fall in value by 4 percentage points.</t>
  </si>
  <si>
    <t>This is exactly calibrated, so as to wipe out the Trader completely if they are wrong. If they bet on [Up,W3], and instead the world delivers W3 with the metric as low as possible, then their $1 portfolio will fall in value to zero.</t>
  </si>
  <si>
    <t>However, with the bitter comes the sweet. As the real-world metric *increases* (as the Trader thought it would), their $1 portfolio *climbs* in value. Again: by 4 percentage points per (1/100)th movement in the underlying metric.</t>
  </si>
  <si>
    <t>This the exact exposure that someone would have gotten, had they *waited* until after W1,W2,W4 had been eliminated, and *then* spent $1 on [Up,W3] shares (now priced at $0.25). They would have ended up with 4 such shares.</t>
  </si>
  <si>
    <t>Thus, we see that this scheme not only *perfectly* refunds the $1 exactly, it also *perfectly* replicates the ROI post-interworld portfolio.</t>
  </si>
  <si>
    <t>Thus, total quantity of a-shares = (a+b)/a .</t>
  </si>
  <si>
    <t>A Second Example</t>
  </si>
  <si>
    <t>Total Portfolio Cost</t>
  </si>
  <si>
    <t>Clearly, anything in W1 and W2 will eventually refund the trader their $1.</t>
  </si>
  <si>
    <t>In W3…</t>
  </si>
  <si>
    <t>… we have our baseline return of $1.</t>
  </si>
  <si>
    <t>And…</t>
  </si>
  <si>
    <t>This porfolio gains in value, from $1.2 when Down is at its maximum value, to $0 when it is at its lowest value.</t>
  </si>
  <si>
    <t>More examples are always helpful. This one will have just three mutually-exclusive worlds. And the Trader will be betting that, if W3, then the metric will go Down.</t>
  </si>
  <si>
    <t>Final Portfolio Value</t>
  </si>
  <si>
    <t>(Proxy for pollution, crime, parks, urban blight, natural resource extraction)</t>
  </si>
  <si>
    <t>https://ajph.aphapublications.org/doi/10.2105/AJPH.2016.303434</t>
  </si>
  <si>
    <r>
      <t xml:space="preserve">Average annual per capita </t>
    </r>
    <r>
      <rPr>
        <b/>
        <sz val="11"/>
        <color theme="1"/>
        <rFont val="Calibri"/>
        <family val="2"/>
        <scheme val="minor"/>
      </rPr>
      <t>federal government spending</t>
    </r>
    <r>
      <rPr>
        <sz val="11"/>
        <color theme="1"/>
        <rFont val="Calibri"/>
        <family val="2"/>
        <scheme val="minor"/>
      </rPr>
      <t xml:space="preserve"> (2020-2024)? ($/population, Measure in July 2025) </t>
    </r>
  </si>
  <si>
    <r>
      <t xml:space="preserve">Average </t>
    </r>
    <r>
      <rPr>
        <b/>
        <sz val="11"/>
        <color theme="1"/>
        <rFont val="Calibri"/>
        <family val="2"/>
        <scheme val="minor"/>
      </rPr>
      <t>employment rate</t>
    </r>
    <r>
      <rPr>
        <sz val="11"/>
        <color theme="1"/>
        <rFont val="Calibri"/>
        <family val="2"/>
        <scheme val="minor"/>
      </rPr>
      <t xml:space="preserve"> throughout (2020-2024)? (100% less U-3 unemployement rate, Measure in July 2025) </t>
    </r>
  </si>
  <si>
    <t>Of course, $1.2 is exactly equal to 1/0.8333. So again: it is exactly as if the Trader had waited (for reality to converge on W3), before purchasing shares of "Down".</t>
  </si>
  <si>
    <r>
      <t xml:space="preserve">In this case, it is 0.15/0.05 = </t>
    </r>
    <r>
      <rPr>
        <b/>
        <sz val="11"/>
        <color theme="1"/>
        <rFont val="Calibri"/>
        <family val="2"/>
        <scheme val="minor"/>
      </rPr>
      <t>3 extra shares</t>
    </r>
    <r>
      <rPr>
        <sz val="11"/>
        <color theme="1"/>
        <rFont val="Calibri"/>
        <family val="2"/>
        <scheme val="minor"/>
      </rPr>
      <t>, since 0.15 was not spent on s6, and each s5 share costs .05. (In total, it is 0.20/0.05 = 4 shares.)</t>
    </r>
  </si>
  <si>
    <t>In general, if we divide this region into three subregions: Q (the counterfactuals), "a" (the Trader's belief), and b (the Trader's anti-belief)…</t>
  </si>
  <si>
    <t>not an endorsement of any political party</t>
  </si>
  <si>
    <t>Findings</t>
  </si>
  <si>
    <t>With $25 million of fuel, into a 144-market, someone can spend up to $50,000 before any of the prices move by one percentage point.</t>
  </si>
  <si>
    <t>(In other words, before any metric moves more than 1/100th along its declared range).</t>
  </si>
  <si>
    <t>The b*log(n) capital requirement grows at log(n), obviously. So it can shrug off a huge n very easily.</t>
  </si>
  <si>
    <t>In fact, log(n) only reaches the value of 10, by the time n is over 22,000. And log(4) is merely 1.386.</t>
  </si>
  <si>
    <t>So we effectively have an unlimited number of shares to play with.</t>
  </si>
  <si>
    <t>With $28 million of fuel, into a 288-market, the result is basically the same. $50k moves the price 0.995%.</t>
  </si>
  <si>
    <t>(Instead of +0.009949, the delta market price may be lower, for example +0.009706 ; ie *more* liquidity [*less* movement than "one percentage point"]).</t>
  </si>
  <si>
    <t>This effect is robust to the distribution of share prices (it is not at all limited to the uniform case where all prices are 1/288th).</t>
  </si>
  <si>
    <t>(the next day)</t>
  </si>
  <si>
    <t>Protfolio Replication</t>
  </si>
  <si>
    <t>Refunding Counterfactual Bets</t>
  </si>
  <si>
    <t>US Elections Example</t>
  </si>
  <si>
    <t>What is the LMSR?</t>
  </si>
  <si>
    <t>Blocksize Controversy</t>
  </si>
  <si>
    <t>Some Accounting Demonstrations</t>
  </si>
  <si>
    <t>Blocksize-usd-appendix</t>
  </si>
  <si>
    <t>Blocksize-appendix-2</t>
  </si>
  <si>
    <t>Dist Calculator</t>
  </si>
  <si>
    <t>Overround</t>
  </si>
  <si>
    <t>Overround with QMSR</t>
  </si>
  <si>
    <t>A variation of the classic: the outcome is NOT a "yes-or-no" event, but instead takes on a value within a continuous 0-1 range.</t>
  </si>
  <si>
    <t>Transform your Bitcoin into some other asset, like USD or Gold. You'll end up with exactly the right amount of BTC. Can be easily mixed into every other type of market.</t>
  </si>
  <si>
    <t>Futarchy is the concept of making a higher-dimensional market, such that the prices reveal "what-if" information. For example, "What would GE's stock price be if we replaced our current CEO?". A kind of price-ocracy.</t>
  </si>
  <si>
    <t>In Futarchy, people often ask, "what if I make a bet of the form 'If we do longshot X, then we will get outcome Y', but X never happens? How do I get my money back? This tab shows how it transpires that you automatically get a full refund.</t>
  </si>
  <si>
    <t>Futarchy is not limited to Yes-No decisions. It can act as a 'governor' and ensure that you are using exactly the right amount of fuel, to maintain a constant desired speed.</t>
  </si>
  <si>
    <t>A specific example of a huge multi-state market that could be used to help citizens obtain reliable information about citizens.</t>
  </si>
  <si>
    <t>Trading with MSRs is very different from the traditional bid-ask "double auction" form of trading.</t>
  </si>
  <si>
    <t>Those examples all make use of a special column called the LMSR. What is it? Why is it an *L"MSR, and not something else?</t>
  </si>
  <si>
    <t>In Truthcoin, once a decision exists, innumerable derivative decisions can be made from it. For example, one could bet on GDP, and then separately one could make a market on log(GDP), or GDP^2.</t>
  </si>
  <si>
    <t>The parameter "b" is very important to these LMSR markets. Here I show that, if b is initially too low, the market-owner (or anyone) can "donate" money to permanently increase it at any time. Same as any other trade.</t>
  </si>
  <si>
    <t>Some researchers have proposed a way of overcharging traders on each trade, to force them to increase b with each buy, and decrease it with each sell.</t>
  </si>
  <si>
    <t>The "Functions of Decisions" concept (and "Portfolio Replication" concept) can be used to easily create put and call options. With these one can make any kind of derivative portfolio (or levered portfolio) that one likes.</t>
  </si>
  <si>
    <t>A market I designed to resolve the Bitcoin Blocksize Controversy. Only a few people were interested.</t>
  </si>
  <si>
    <t>Some supplemental calculations for a USD-portfolio replicated version of the market.</t>
  </si>
  <si>
    <t>More supplemental calculations.</t>
  </si>
  <si>
    <t>A sort of quirky idea: "I will donate X dollars to a certain charity, but only if Event Y happens."</t>
  </si>
  <si>
    <t>Transforms certain PM-sourced data into distributions. In general this is a terrible idea -- I merely found it to be an interesting curiosity.</t>
  </si>
  <si>
    <t>Some experiments to check on price slippage at lower b-values, and how it comparies to overround in traditional gambling environments.</t>
  </si>
  <si>
    <t>Running the same experiments with QMSR instead of LMSR.</t>
  </si>
  <si>
    <t>Unimportant experiments, concerning the 'additivity' of trades.</t>
  </si>
  <si>
    <t>Unimportant experiment concerning market-behavior at an upper limit of outstanding shares.</t>
  </si>
  <si>
    <t>With MSRs: issuance, price determination, and trading all happen in the same convenient step.</t>
  </si>
  <si>
    <t>Market Price of Each Share</t>
  </si>
  <si>
    <t>Paul Sztorc -- Version 2.1.1 -- July 18th, 2020</t>
  </si>
  <si>
    <t>Prediction markets can effectively become "swaps" when their underlying event is financial. It is very EASY to do math behind the scenes, to ensure that the swaps behave perfectly.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</si>
</sst>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6" formatCode="&quot;$&quot;#,##0_);[Red]\(&quot;$&quot;#,##0\)"/>
    <numFmt numFmtId="8" formatCode="&quot;$&quot;#,##0.00_);[Red]\(&quot;$&quot;#,##0.00\)"/>
    <numFmt numFmtId="43" formatCode="_(* #,##0.00_);_(* \(#,##0.00\);_(* &quot;-&quot;??_);_(@_)"/>
    <numFmt numFmtId="164" formatCode="0.000"/>
    <numFmt numFmtId="165" formatCode="0.0000"/>
    <numFmt numFmtId="166" formatCode="0.0%"/>
    <numFmt numFmtId="167" formatCode="0.0"/>
    <numFmt numFmtId="168" formatCode="0.00000"/>
    <numFmt numFmtId="169" formatCode="0.0000000"/>
    <numFmt numFmtId="170" formatCode="0.00000%"/>
    <numFmt numFmtId="171" formatCode="0.000000"/>
    <numFmt numFmtId="172" formatCode="#,##0.00000"/>
    <numFmt numFmtId="173" formatCode="#,##0.000000"/>
    <numFmt numFmtId="174" formatCode="0.00000000"/>
    <numFmt numFmtId="175" formatCode="0.000%"/>
    <numFmt numFmtId="176" formatCode="0.000000%"/>
    <numFmt numFmtId="177" formatCode="0.0000000%"/>
    <numFmt numFmtId="178" formatCode="&quot;$&quot;#,##0.0000_);[Red]\(&quot;$&quot;#,##0.0000\)"/>
    <numFmt numFmtId="179" formatCode="0.000000000"/>
    <numFmt numFmtId="180" formatCode="&quot;$&quot;#,##0.0_);[Red]\(&quot;$&quot;#,##0.0\)"/>
    <numFmt numFmtId="181" formatCode="#,##0.0000"/>
    <numFmt numFmtId="182" formatCode="0.00000000000%"/>
    <numFmt numFmtId="183" formatCode="#,##0.000"/>
    <numFmt numFmtId="184" formatCode="0.00000000000000000000%"/>
    <numFmt numFmtId="185" formatCode="&quot;$&quot;#,##0.000_);[Red]\(&quot;$&quot;#,##0.000\)"/>
    <numFmt numFmtId="186" formatCode="&quot;$&quot;#,##0.00000_);[Red]\(&quot;$&quot;#,##0.00000\)"/>
    <numFmt numFmtId="187" formatCode="0.0000000000"/>
    <numFmt numFmtId="188" formatCode="0.00000000000"/>
    <numFmt numFmtId="189" formatCode="0.0000%"/>
    <numFmt numFmtId="190" formatCode="0.00000000000000%"/>
    <numFmt numFmtId="191" formatCode="0.000000E+00"/>
    <numFmt numFmtId="192" formatCode="0.00000000E+00"/>
    <numFmt numFmtId="193" formatCode="0.0000000000E+00"/>
    <numFmt numFmtId="194" formatCode="[$-409]d\-mmm\-yy;@"/>
    <numFmt numFmtId="195" formatCode="0.00000000%"/>
    <numFmt numFmtId="196" formatCode="#,##0.0000000"/>
    <numFmt numFmtId="197" formatCode="&quot;$&quot;#,##0.0000000000_);[Red]\(&quot;$&quot;#,##0.0000000000\)"/>
    <numFmt numFmtId="198" formatCode="#,##0.0000000000000"/>
    <numFmt numFmtId="199" formatCode="#,##0.000000000000000"/>
  </numFmts>
  <fonts count="51"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sz val="14"/>
      <color theme="1"/>
      <name val="Calibri"/>
      <family val="2"/>
      <scheme val="minor"/>
    </font>
    <font>
      <sz val="24"/>
      <color theme="1"/>
      <name val="Calibri"/>
      <family val="2"/>
      <scheme val="minor"/>
    </font>
    <font>
      <b/>
      <u/>
      <sz val="11"/>
      <color theme="1"/>
      <name val="Calibri"/>
      <family val="2"/>
      <scheme val="minor"/>
    </font>
    <font>
      <sz val="22"/>
      <color theme="1"/>
      <name val="Calibri"/>
      <family val="2"/>
      <scheme val="minor"/>
    </font>
    <font>
      <sz val="26"/>
      <color theme="1"/>
      <name val="Calibri"/>
      <family val="2"/>
      <scheme val="minor"/>
    </font>
    <font>
      <sz val="28"/>
      <color theme="1"/>
      <name val="Calibri"/>
      <family val="2"/>
      <scheme val="minor"/>
    </font>
    <font>
      <sz val="36"/>
      <color theme="1"/>
      <name val="Calibri"/>
      <family val="2"/>
      <scheme val="minor"/>
    </font>
    <font>
      <sz val="11"/>
      <color rgb="FFFFFF00"/>
      <name val="Calibri"/>
      <family val="2"/>
      <scheme val="minor"/>
    </font>
    <font>
      <sz val="11"/>
      <color theme="6" tint="0.59999389629810485"/>
      <name val="Calibri"/>
      <family val="2"/>
      <scheme val="minor"/>
    </font>
    <font>
      <b/>
      <i/>
      <sz val="11"/>
      <color theme="1"/>
      <name val="Calibri"/>
      <family val="2"/>
      <scheme val="minor"/>
    </font>
    <font>
      <b/>
      <i/>
      <sz val="11"/>
      <color rgb="FFFFFF00"/>
      <name val="Calibri"/>
      <family val="2"/>
      <scheme val="minor"/>
    </font>
    <font>
      <sz val="48"/>
      <color theme="1"/>
      <name val="Calibri"/>
      <family val="2"/>
      <scheme val="minor"/>
    </font>
    <font>
      <i/>
      <sz val="10"/>
      <color theme="1"/>
      <name val="Calibri"/>
      <family val="2"/>
      <scheme val="minor"/>
    </font>
    <font>
      <sz val="11"/>
      <color theme="0"/>
      <name val="Calibri"/>
      <family val="2"/>
      <scheme val="minor"/>
    </font>
    <font>
      <sz val="16"/>
      <color theme="1"/>
      <name val="Calibri"/>
      <family val="2"/>
      <scheme val="minor"/>
    </font>
    <font>
      <sz val="20"/>
      <color theme="1"/>
      <name val="Calibri"/>
      <family val="2"/>
      <scheme val="minor"/>
    </font>
    <font>
      <sz val="18"/>
      <color theme="1"/>
      <name val="Calibri"/>
      <family val="2"/>
      <scheme val="minor"/>
    </font>
    <font>
      <i/>
      <sz val="11"/>
      <color theme="1"/>
      <name val="Calibri"/>
      <family val="2"/>
      <scheme val="minor"/>
    </font>
    <font>
      <sz val="11"/>
      <color theme="9" tint="-0.249977111117893"/>
      <name val="Calibri"/>
      <family val="2"/>
      <scheme val="minor"/>
    </font>
    <font>
      <sz val="11"/>
      <color theme="7" tint="-0.249977111117893"/>
      <name val="Calibri"/>
      <family val="2"/>
      <scheme val="minor"/>
    </font>
    <font>
      <sz val="11"/>
      <name val="Calibri"/>
      <family val="2"/>
      <scheme val="minor"/>
    </font>
    <font>
      <sz val="11"/>
      <color theme="0" tint="-4.9989318521683403E-2"/>
      <name val="Calibri"/>
      <family val="2"/>
      <scheme val="minor"/>
    </font>
    <font>
      <b/>
      <sz val="22"/>
      <color theme="1"/>
      <name val="Calibri"/>
      <family val="2"/>
      <scheme val="minor"/>
    </font>
    <font>
      <sz val="9"/>
      <color theme="1"/>
      <name val="Calibri"/>
      <family val="2"/>
      <scheme val="minor"/>
    </font>
    <font>
      <sz val="12"/>
      <color theme="1"/>
      <name val="Calibri"/>
      <family val="2"/>
      <scheme val="minor"/>
    </font>
    <font>
      <u/>
      <sz val="11"/>
      <color theme="1"/>
      <name val="Calibri"/>
      <family val="2"/>
      <scheme val="minor"/>
    </font>
    <font>
      <b/>
      <sz val="26"/>
      <color theme="1"/>
      <name val="Calibri"/>
      <family val="2"/>
      <scheme val="minor"/>
    </font>
    <font>
      <sz val="8"/>
      <color theme="1"/>
      <name val="Calibri"/>
      <family val="2"/>
      <scheme val="minor"/>
    </font>
    <font>
      <u/>
      <sz val="8"/>
      <color theme="1"/>
      <name val="Calibri"/>
      <family val="2"/>
      <scheme val="minor"/>
    </font>
    <font>
      <b/>
      <sz val="22"/>
      <color theme="1" tint="0.499984740745262"/>
      <name val="Calibri"/>
      <family val="2"/>
      <scheme val="minor"/>
    </font>
    <font>
      <sz val="11"/>
      <color theme="0" tint="-0.14999847407452621"/>
      <name val="Calibri"/>
      <family val="2"/>
      <scheme val="minor"/>
    </font>
    <font>
      <sz val="11"/>
      <color theme="1"/>
      <name val="Calibri"/>
      <family val="2"/>
    </font>
    <font>
      <sz val="8"/>
      <name val="Calibri"/>
      <family val="2"/>
      <scheme val="minor"/>
    </font>
    <font>
      <sz val="16"/>
      <name val="Calibri"/>
      <family val="2"/>
      <scheme val="minor"/>
    </font>
    <font>
      <sz val="16"/>
      <color theme="9" tint="-0.249977111117893"/>
      <name val="Calibri"/>
      <family val="2"/>
      <scheme val="minor"/>
    </font>
    <font>
      <sz val="11"/>
      <color theme="0" tint="-0.249977111117893"/>
      <name val="Calibri"/>
      <family val="2"/>
      <scheme val="minor"/>
    </font>
    <font>
      <b/>
      <sz val="11"/>
      <color theme="1" tint="0.34998626667073579"/>
      <name val="Calibri"/>
      <family val="2"/>
      <scheme val="minor"/>
    </font>
    <font>
      <sz val="11"/>
      <color theme="1" tint="0.34998626667073579"/>
      <name val="Calibri"/>
      <family val="2"/>
      <scheme val="minor"/>
    </font>
    <font>
      <b/>
      <sz val="10"/>
      <color theme="1"/>
      <name val="Calibri"/>
      <family val="2"/>
      <scheme val="minor"/>
    </font>
    <font>
      <sz val="11"/>
      <color theme="0" tint="-0.499984740745262"/>
      <name val="Calibri"/>
      <family val="2"/>
      <scheme val="minor"/>
    </font>
    <font>
      <b/>
      <sz val="11"/>
      <color theme="0" tint="-0.499984740745262"/>
      <name val="Calibri"/>
      <family val="2"/>
      <scheme val="minor"/>
    </font>
    <font>
      <i/>
      <sz val="11"/>
      <color theme="0" tint="-0.499984740745262"/>
      <name val="Calibri"/>
      <family val="2"/>
      <scheme val="minor"/>
    </font>
    <font>
      <b/>
      <sz val="18"/>
      <color theme="1"/>
      <name val="Calibri"/>
      <family val="2"/>
      <scheme val="minor"/>
    </font>
    <font>
      <i/>
      <u/>
      <sz val="11"/>
      <color theme="1"/>
      <name val="Calibri"/>
      <family val="2"/>
      <scheme val="minor"/>
    </font>
  </fonts>
  <fills count="48">
    <fill>
      <patternFill patternType="none"/>
    </fill>
    <fill>
      <patternFill patternType="gray125"/>
    </fill>
    <fill>
      <patternFill patternType="solid">
        <fgColor theme="6"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499984740745262"/>
        <bgColor indexed="64"/>
      </patternFill>
    </fill>
    <fill>
      <patternFill patternType="solid">
        <fgColor theme="9"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0000"/>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rgb="FFFFC000"/>
        <bgColor indexed="64"/>
      </patternFill>
    </fill>
    <fill>
      <patternFill patternType="solid">
        <fgColor rgb="FF72F278"/>
        <bgColor indexed="64"/>
      </patternFill>
    </fill>
    <fill>
      <patternFill patternType="solid">
        <fgColor rgb="FFDF41CC"/>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B8FAC0"/>
        <bgColor indexed="64"/>
      </patternFill>
    </fill>
    <fill>
      <patternFill patternType="solid">
        <fgColor theme="2" tint="-0.499984740745262"/>
        <bgColor indexed="64"/>
      </patternFill>
    </fill>
    <fill>
      <patternFill patternType="solid">
        <fgColor theme="6" tint="-0.499984740745262"/>
        <bgColor indexed="64"/>
      </patternFill>
    </fill>
    <fill>
      <patternFill patternType="solid">
        <fgColor theme="1"/>
        <bgColor indexed="64"/>
      </patternFill>
    </fill>
    <fill>
      <patternFill patternType="solid">
        <fgColor theme="9" tint="-0.249977111117893"/>
        <bgColor indexed="64"/>
      </patternFill>
    </fill>
    <fill>
      <patternFill patternType="solid">
        <fgColor rgb="FFF2FDB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0070C0"/>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7030A0"/>
        <bgColor indexed="64"/>
      </patternFill>
    </fill>
  </fills>
  <borders count="12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double">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double">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style="medium">
        <color indexed="64"/>
      </left>
      <right/>
      <top style="thin">
        <color indexed="64"/>
      </top>
      <bottom style="double">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thin">
        <color theme="1"/>
      </top>
      <bottom/>
      <diagonal/>
    </border>
    <border>
      <left style="medium">
        <color theme="1"/>
      </left>
      <right style="thin">
        <color theme="1"/>
      </right>
      <top/>
      <bottom/>
      <diagonal/>
    </border>
    <border>
      <left style="medium">
        <color theme="1"/>
      </left>
      <right style="thin">
        <color theme="1"/>
      </right>
      <top/>
      <bottom style="medium">
        <color theme="1"/>
      </bottom>
      <diagonal/>
    </border>
    <border>
      <left style="thin">
        <color theme="1"/>
      </left>
      <right style="thin">
        <color theme="1"/>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top/>
      <bottom/>
      <diagonal/>
    </border>
    <border>
      <left/>
      <right style="thin">
        <color theme="9" tint="-0.249977111117893"/>
      </right>
      <top style="double">
        <color indexed="64"/>
      </top>
      <bottom/>
      <diagonal/>
    </border>
    <border>
      <left/>
      <right style="thin">
        <color theme="9" tint="-0.249977111117893"/>
      </right>
      <top/>
      <bottom/>
      <diagonal/>
    </border>
    <border>
      <left/>
      <right style="thin">
        <color theme="9" tint="-0.249977111117893"/>
      </right>
      <top/>
      <bottom style="thin">
        <color theme="9" tint="-0.249977111117893"/>
      </bottom>
      <diagonal/>
    </border>
    <border>
      <left style="thin">
        <color theme="1"/>
      </left>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s>
  <cellStyleXfs count="4">
    <xf numFmtId="0" fontId="0" fillId="0" borderId="0"/>
    <xf numFmtId="9" fontId="2"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cellStyleXfs>
  <cellXfs count="1714">
    <xf numFmtId="0" fontId="0" fillId="0" borderId="0" xfId="0"/>
    <xf numFmtId="0" fontId="0" fillId="0" borderId="1" xfId="0" applyBorder="1"/>
    <xf numFmtId="0" fontId="0" fillId="0" borderId="3" xfId="0" applyBorder="1"/>
    <xf numFmtId="0" fontId="0" fillId="0" borderId="4" xfId="0" applyBorder="1"/>
    <xf numFmtId="165" fontId="0" fillId="0" borderId="0" xfId="0" applyNumberFormat="1"/>
    <xf numFmtId="0" fontId="0" fillId="0" borderId="5" xfId="0" applyBorder="1"/>
    <xf numFmtId="0" fontId="0" fillId="0" borderId="6" xfId="0" applyBorder="1"/>
    <xf numFmtId="0" fontId="0" fillId="0" borderId="0" xfId="0" applyBorder="1"/>
    <xf numFmtId="0" fontId="0" fillId="0" borderId="0" xfId="0" applyFill="1" applyBorder="1"/>
    <xf numFmtId="0" fontId="0" fillId="0" borderId="10" xfId="0" applyBorder="1"/>
    <xf numFmtId="0" fontId="0" fillId="0" borderId="11" xfId="0" applyBorder="1"/>
    <xf numFmtId="0" fontId="0" fillId="0" borderId="12" xfId="0" applyBorder="1"/>
    <xf numFmtId="0" fontId="0" fillId="0" borderId="14" xfId="0" applyBorder="1"/>
    <xf numFmtId="0" fontId="0" fillId="0" borderId="8" xfId="0" applyBorder="1"/>
    <xf numFmtId="0" fontId="0" fillId="0" borderId="1" xfId="0" applyBorder="1" applyAlignment="1">
      <alignment horizontal="left" vertical="center"/>
    </xf>
    <xf numFmtId="0" fontId="0" fillId="0" borderId="9" xfId="0" applyBorder="1" applyAlignment="1">
      <alignment horizontal="left" vertical="center"/>
    </xf>
    <xf numFmtId="0" fontId="0" fillId="0" borderId="2" xfId="0" applyBorder="1" applyAlignment="1">
      <alignment horizontal="left" vertical="center"/>
    </xf>
    <xf numFmtId="0" fontId="0" fillId="0" borderId="0" xfId="0" applyBorder="1" applyAlignment="1"/>
    <xf numFmtId="0" fontId="0" fillId="0" borderId="0" xfId="0" applyBorder="1" applyAlignment="1">
      <alignment horizontal="center"/>
    </xf>
    <xf numFmtId="166" fontId="0" fillId="0" borderId="0" xfId="1" applyNumberFormat="1" applyFont="1" applyBorder="1" applyAlignment="1">
      <alignment horizontal="center"/>
    </xf>
    <xf numFmtId="0" fontId="0" fillId="0" borderId="0" xfId="0" applyBorder="1" applyAlignment="1">
      <alignment horizontal="left" vertical="center"/>
    </xf>
    <xf numFmtId="0" fontId="0" fillId="0" borderId="0" xfId="0" applyBorder="1" applyAlignment="1">
      <alignment horizontal="right"/>
    </xf>
    <xf numFmtId="0" fontId="0" fillId="0" borderId="24" xfId="0" applyBorder="1"/>
    <xf numFmtId="0" fontId="0" fillId="0" borderId="25" xfId="0" applyBorder="1"/>
    <xf numFmtId="0" fontId="0" fillId="0" borderId="26" xfId="0" applyBorder="1"/>
    <xf numFmtId="0" fontId="0" fillId="0" borderId="0" xfId="0" applyAlignment="1">
      <alignment horizontal="right"/>
    </xf>
    <xf numFmtId="0" fontId="0" fillId="0" borderId="0" xfId="0" applyAlignment="1">
      <alignment horizontal="left"/>
    </xf>
    <xf numFmtId="165" fontId="0" fillId="0" borderId="25" xfId="0" applyNumberFormat="1" applyBorder="1"/>
    <xf numFmtId="2" fontId="0" fillId="0" borderId="0" xfId="0" applyNumberFormat="1" applyFill="1" applyBorder="1"/>
    <xf numFmtId="167" fontId="0" fillId="0" borderId="0" xfId="0" applyNumberFormat="1" applyFill="1" applyBorder="1"/>
    <xf numFmtId="0" fontId="0" fillId="0" borderId="0" xfId="0" applyBorder="1" applyAlignment="1">
      <alignment horizontal="left" vertical="center" wrapText="1"/>
    </xf>
    <xf numFmtId="0" fontId="0" fillId="0" borderId="0" xfId="0" applyBorder="1" applyAlignment="1">
      <alignment wrapText="1"/>
    </xf>
    <xf numFmtId="0" fontId="0" fillId="0" borderId="0" xfId="0" applyFont="1" applyBorder="1"/>
    <xf numFmtId="0" fontId="0" fillId="0" borderId="0" xfId="0" applyAlignment="1"/>
    <xf numFmtId="0" fontId="0" fillId="0" borderId="14" xfId="0" applyFont="1" applyBorder="1" applyAlignment="1">
      <alignment horizontal="right"/>
    </xf>
    <xf numFmtId="0" fontId="0" fillId="7" borderId="14" xfId="0" applyFill="1" applyBorder="1"/>
    <xf numFmtId="0" fontId="0" fillId="8" borderId="1" xfId="0" applyFill="1" applyBorder="1" applyAlignment="1">
      <alignment horizontal="left" vertical="center"/>
    </xf>
    <xf numFmtId="0" fontId="0" fillId="8" borderId="9" xfId="0" applyFill="1" applyBorder="1" applyAlignment="1">
      <alignment horizontal="left" vertical="center"/>
    </xf>
    <xf numFmtId="0" fontId="0" fillId="8" borderId="2" xfId="0" applyFill="1" applyBorder="1" applyAlignment="1">
      <alignment horizontal="left" vertical="center"/>
    </xf>
    <xf numFmtId="0" fontId="0" fillId="5" borderId="13" xfId="0" applyFill="1" applyBorder="1" applyAlignment="1"/>
    <xf numFmtId="0" fontId="0" fillId="3" borderId="8" xfId="0" applyFill="1" applyBorder="1" applyAlignment="1"/>
    <xf numFmtId="0" fontId="0" fillId="3" borderId="0" xfId="0" applyFill="1" applyBorder="1" applyAlignment="1"/>
    <xf numFmtId="0" fontId="0" fillId="2" borderId="5" xfId="0" applyFill="1" applyBorder="1" applyAlignment="1"/>
    <xf numFmtId="0" fontId="0" fillId="7" borderId="14" xfId="0" applyFill="1" applyBorder="1" applyAlignment="1"/>
    <xf numFmtId="0" fontId="0" fillId="5" borderId="3" xfId="0" applyFill="1" applyBorder="1" applyAlignment="1"/>
    <xf numFmtId="0" fontId="0" fillId="3" borderId="7" xfId="0" applyFill="1" applyBorder="1" applyAlignment="1"/>
    <xf numFmtId="164" fontId="0" fillId="7" borderId="4" xfId="0" applyNumberFormat="1" applyFill="1" applyBorder="1" applyAlignment="1"/>
    <xf numFmtId="0" fontId="0" fillId="5" borderId="5" xfId="0" applyFill="1" applyBorder="1" applyAlignment="1"/>
    <xf numFmtId="166" fontId="0" fillId="5" borderId="21" xfId="1" applyNumberFormat="1" applyFont="1" applyFill="1" applyBorder="1" applyAlignment="1"/>
    <xf numFmtId="164" fontId="0" fillId="7" borderId="6" xfId="0" applyNumberFormat="1" applyFill="1" applyBorder="1" applyAlignment="1"/>
    <xf numFmtId="166" fontId="0" fillId="5" borderId="27" xfId="1" applyNumberFormat="1" applyFont="1" applyFill="1" applyBorder="1" applyAlignment="1"/>
    <xf numFmtId="0" fontId="0" fillId="5" borderId="18" xfId="0" applyFill="1" applyBorder="1" applyAlignment="1"/>
    <xf numFmtId="166" fontId="0" fillId="5" borderId="18" xfId="1" applyNumberFormat="1" applyFont="1" applyFill="1" applyBorder="1" applyAlignment="1"/>
    <xf numFmtId="9" fontId="1" fillId="0" borderId="0" xfId="1" applyNumberFormat="1" applyFont="1" applyBorder="1" applyAlignment="1"/>
    <xf numFmtId="9" fontId="0" fillId="0" borderId="0" xfId="1" applyNumberFormat="1" applyFont="1" applyBorder="1" applyAlignment="1"/>
    <xf numFmtId="0" fontId="0" fillId="4" borderId="8" xfId="0" applyFill="1" applyBorder="1" applyAlignment="1"/>
    <xf numFmtId="0" fontId="0" fillId="6" borderId="14" xfId="0" applyFill="1" applyBorder="1" applyAlignment="1"/>
    <xf numFmtId="0" fontId="0" fillId="4" borderId="7" xfId="0" applyFill="1" applyBorder="1" applyAlignment="1"/>
    <xf numFmtId="0" fontId="0" fillId="6" borderId="4" xfId="0" applyFill="1" applyBorder="1" applyAlignment="1"/>
    <xf numFmtId="0" fontId="0" fillId="4" borderId="0" xfId="0" applyFill="1" applyBorder="1" applyAlignment="1"/>
    <xf numFmtId="0" fontId="0" fillId="6" borderId="6" xfId="0" applyFill="1" applyBorder="1" applyAlignment="1"/>
    <xf numFmtId="0" fontId="3" fillId="8" borderId="1" xfId="0" applyFont="1" applyFill="1" applyBorder="1" applyAlignment="1">
      <alignment horizontal="left" vertical="center"/>
    </xf>
    <xf numFmtId="0" fontId="3" fillId="8" borderId="9" xfId="0" applyFont="1" applyFill="1" applyBorder="1" applyAlignment="1">
      <alignment horizontal="left" vertical="center"/>
    </xf>
    <xf numFmtId="0" fontId="3" fillId="8" borderId="2" xfId="0" applyFont="1" applyFill="1" applyBorder="1" applyAlignment="1">
      <alignment horizontal="left" vertical="center"/>
    </xf>
    <xf numFmtId="9" fontId="0" fillId="5" borderId="13" xfId="1" applyNumberFormat="1" applyFont="1" applyFill="1" applyBorder="1" applyAlignment="1"/>
    <xf numFmtId="9" fontId="0" fillId="4" borderId="8" xfId="1" applyNumberFormat="1" applyFont="1" applyFill="1" applyBorder="1" applyAlignment="1"/>
    <xf numFmtId="9" fontId="0" fillId="3" borderId="8" xfId="1" applyNumberFormat="1" applyFont="1" applyFill="1" applyBorder="1" applyAlignment="1"/>
    <xf numFmtId="9" fontId="0" fillId="6" borderId="14" xfId="1" applyNumberFormat="1" applyFont="1" applyFill="1" applyBorder="1" applyAlignment="1"/>
    <xf numFmtId="9" fontId="0" fillId="5" borderId="3" xfId="1" applyNumberFormat="1" applyFont="1" applyFill="1" applyBorder="1" applyAlignment="1"/>
    <xf numFmtId="9" fontId="0" fillId="4" borderId="7" xfId="1" applyNumberFormat="1" applyFont="1" applyFill="1" applyBorder="1" applyAlignment="1"/>
    <xf numFmtId="9" fontId="0" fillId="3" borderId="7" xfId="1" applyNumberFormat="1" applyFont="1" applyFill="1" applyBorder="1" applyAlignment="1"/>
    <xf numFmtId="9" fontId="0" fillId="5" borderId="5" xfId="1" applyNumberFormat="1" applyFont="1" applyFill="1" applyBorder="1" applyAlignment="1"/>
    <xf numFmtId="9" fontId="0" fillId="4" borderId="0" xfId="1" applyNumberFormat="1" applyFont="1" applyFill="1" applyBorder="1" applyAlignment="1"/>
    <xf numFmtId="9" fontId="0" fillId="3" borderId="0" xfId="1" applyNumberFormat="1" applyFont="1" applyFill="1" applyBorder="1" applyAlignment="1"/>
    <xf numFmtId="0" fontId="0" fillId="7" borderId="4" xfId="0" applyFill="1" applyBorder="1"/>
    <xf numFmtId="0" fontId="0" fillId="7" borderId="6" xfId="0" applyFill="1" applyBorder="1"/>
    <xf numFmtId="0" fontId="0" fillId="5" borderId="8" xfId="0" applyFill="1" applyBorder="1" applyAlignment="1"/>
    <xf numFmtId="0" fontId="0" fillId="3" borderId="14" xfId="0" applyFill="1" applyBorder="1" applyAlignment="1"/>
    <xf numFmtId="166" fontId="0" fillId="3" borderId="7" xfId="1" applyNumberFormat="1" applyFont="1" applyFill="1" applyBorder="1" applyAlignment="1"/>
    <xf numFmtId="166" fontId="0" fillId="3" borderId="0" xfId="1" applyNumberFormat="1" applyFont="1" applyFill="1" applyBorder="1" applyAlignment="1"/>
    <xf numFmtId="166" fontId="0" fillId="3" borderId="23" xfId="1" applyNumberFormat="1" applyFont="1" applyFill="1" applyBorder="1" applyAlignment="1"/>
    <xf numFmtId="0" fontId="0" fillId="2" borderId="15" xfId="0" applyFill="1" applyBorder="1" applyAlignment="1"/>
    <xf numFmtId="0" fontId="0" fillId="2" borderId="16" xfId="0" applyFill="1" applyBorder="1" applyAlignment="1"/>
    <xf numFmtId="0" fontId="0" fillId="2" borderId="17" xfId="0" applyFill="1" applyBorder="1" applyAlignment="1"/>
    <xf numFmtId="0" fontId="0" fillId="0" borderId="0" xfId="0" applyAlignment="1">
      <alignment horizontal="center"/>
    </xf>
    <xf numFmtId="10" fontId="0" fillId="5" borderId="10" xfId="1" applyNumberFormat="1" applyFont="1" applyFill="1" applyBorder="1" applyAlignment="1"/>
    <xf numFmtId="10" fontId="0" fillId="4" borderId="12" xfId="1" applyNumberFormat="1" applyFont="1" applyFill="1" applyBorder="1" applyAlignment="1"/>
    <xf numFmtId="10" fontId="0" fillId="0" borderId="27" xfId="0" applyNumberFormat="1" applyBorder="1"/>
    <xf numFmtId="10" fontId="0" fillId="3" borderId="18" xfId="1" applyNumberFormat="1" applyFont="1" applyFill="1" applyBorder="1" applyAlignment="1"/>
    <xf numFmtId="10" fontId="0" fillId="6" borderId="19" xfId="1" applyNumberFormat="1" applyFont="1" applyFill="1" applyBorder="1" applyAlignment="1"/>
    <xf numFmtId="10" fontId="0" fillId="0" borderId="0" xfId="0" applyNumberFormat="1"/>
    <xf numFmtId="10" fontId="0" fillId="0" borderId="0" xfId="0" applyNumberFormat="1" applyAlignment="1"/>
    <xf numFmtId="10" fontId="0" fillId="0" borderId="28" xfId="0" applyNumberFormat="1" applyBorder="1"/>
    <xf numFmtId="1" fontId="0" fillId="0" borderId="0" xfId="0" applyNumberFormat="1" applyAlignment="1">
      <alignment horizontal="center"/>
    </xf>
    <xf numFmtId="0" fontId="0" fillId="0" borderId="30" xfId="0" applyBorder="1"/>
    <xf numFmtId="0" fontId="0" fillId="0" borderId="31" xfId="0" applyBorder="1"/>
    <xf numFmtId="0" fontId="0" fillId="10" borderId="0" xfId="0" applyFill="1"/>
    <xf numFmtId="0" fontId="0" fillId="11" borderId="0" xfId="0" applyFill="1"/>
    <xf numFmtId="0" fontId="0" fillId="9" borderId="10" xfId="0" applyFill="1" applyBorder="1"/>
    <xf numFmtId="0" fontId="0" fillId="9" borderId="21" xfId="0" applyFill="1" applyBorder="1"/>
    <xf numFmtId="0" fontId="0" fillId="0" borderId="22" xfId="0" applyBorder="1"/>
    <xf numFmtId="0" fontId="0" fillId="9" borderId="18" xfId="0" applyFill="1" applyBorder="1"/>
    <xf numFmtId="0" fontId="0" fillId="0" borderId="19" xfId="0" applyBorder="1"/>
    <xf numFmtId="0" fontId="0" fillId="11" borderId="10" xfId="0" applyFill="1" applyBorder="1"/>
    <xf numFmtId="0" fontId="0" fillId="11" borderId="21" xfId="0" applyFill="1" applyBorder="1"/>
    <xf numFmtId="0" fontId="0" fillId="11" borderId="18" xfId="0" applyFill="1" applyBorder="1"/>
    <xf numFmtId="0" fontId="0" fillId="0" borderId="28" xfId="0" applyBorder="1"/>
    <xf numFmtId="0" fontId="0" fillId="0" borderId="32" xfId="0" applyBorder="1"/>
    <xf numFmtId="0" fontId="0" fillId="0" borderId="33" xfId="0" applyBorder="1"/>
    <xf numFmtId="0" fontId="0" fillId="0" borderId="33" xfId="0" applyFill="1" applyBorder="1"/>
    <xf numFmtId="0" fontId="0" fillId="0" borderId="0" xfId="0" applyFill="1"/>
    <xf numFmtId="0" fontId="0" fillId="2" borderId="34" xfId="0" applyFill="1" applyBorder="1" applyAlignment="1"/>
    <xf numFmtId="0" fontId="0" fillId="2" borderId="37" xfId="0" applyFill="1" applyBorder="1" applyAlignment="1"/>
    <xf numFmtId="164" fontId="0" fillId="7" borderId="35" xfId="0" applyNumberFormat="1" applyFill="1" applyBorder="1" applyAlignment="1"/>
    <xf numFmtId="0" fontId="0" fillId="0" borderId="21" xfId="0" applyBorder="1"/>
    <xf numFmtId="0" fontId="0" fillId="0" borderId="8" xfId="0" applyFont="1" applyBorder="1" applyAlignment="1">
      <alignment horizontal="right"/>
    </xf>
    <xf numFmtId="10" fontId="0" fillId="0" borderId="29" xfId="0" applyNumberFormat="1" applyFill="1" applyBorder="1" applyAlignment="1"/>
    <xf numFmtId="10" fontId="0" fillId="12" borderId="0" xfId="0" applyNumberFormat="1" applyFill="1" applyAlignment="1"/>
    <xf numFmtId="0" fontId="0" fillId="0" borderId="21" xfId="0" applyBorder="1" applyAlignment="1">
      <alignment horizontal="right"/>
    </xf>
    <xf numFmtId="0" fontId="0" fillId="0" borderId="18" xfId="0" applyBorder="1"/>
    <xf numFmtId="165" fontId="0" fillId="0" borderId="0" xfId="0" applyNumberFormat="1" applyBorder="1"/>
    <xf numFmtId="165" fontId="0" fillId="0" borderId="2" xfId="0" applyNumberFormat="1" applyBorder="1"/>
    <xf numFmtId="165" fontId="0" fillId="0" borderId="6" xfId="0" applyNumberFormat="1" applyBorder="1"/>
    <xf numFmtId="165" fontId="0" fillId="0" borderId="4" xfId="0" applyNumberFormat="1" applyBorder="1"/>
    <xf numFmtId="0" fontId="0" fillId="0" borderId="40" xfId="0" applyBorder="1"/>
    <xf numFmtId="0" fontId="0" fillId="0" borderId="16" xfId="0" applyBorder="1" applyAlignment="1">
      <alignment horizontal="center"/>
    </xf>
    <xf numFmtId="0" fontId="0" fillId="0" borderId="27" xfId="0" applyBorder="1" applyAlignment="1">
      <alignment horizontal="center"/>
    </xf>
    <xf numFmtId="0" fontId="0" fillId="0" borderId="7" xfId="0" applyBorder="1" applyAlignment="1">
      <alignment horizontal="center"/>
    </xf>
    <xf numFmtId="0" fontId="0" fillId="0" borderId="39" xfId="0" applyBorder="1" applyAlignment="1">
      <alignment horizontal="center"/>
    </xf>
    <xf numFmtId="0" fontId="0" fillId="0" borderId="36" xfId="0" applyBorder="1"/>
    <xf numFmtId="0" fontId="0" fillId="0" borderId="41" xfId="0" applyBorder="1"/>
    <xf numFmtId="0" fontId="0" fillId="0" borderId="35" xfId="0" applyBorder="1"/>
    <xf numFmtId="0" fontId="0" fillId="0" borderId="8" xfId="0" applyBorder="1" applyAlignment="1">
      <alignment horizontal="right"/>
    </xf>
    <xf numFmtId="0" fontId="0" fillId="0" borderId="20" xfId="0" applyBorder="1"/>
    <xf numFmtId="0" fontId="0" fillId="0" borderId="36" xfId="0" applyBorder="1" applyAlignment="1">
      <alignment horizontal="right"/>
    </xf>
    <xf numFmtId="0" fontId="0" fillId="0" borderId="37" xfId="0" applyBorder="1" applyAlignment="1">
      <alignment horizontal="center"/>
    </xf>
    <xf numFmtId="165" fontId="0" fillId="0" borderId="20" xfId="0" applyNumberFormat="1" applyBorder="1"/>
    <xf numFmtId="165" fontId="0" fillId="0" borderId="8" xfId="0" applyNumberFormat="1" applyBorder="1"/>
    <xf numFmtId="0" fontId="0" fillId="0" borderId="8" xfId="0" applyBorder="1" applyAlignment="1">
      <alignment horizontal="left"/>
    </xf>
    <xf numFmtId="0" fontId="5" fillId="0" borderId="0" xfId="0" applyFont="1"/>
    <xf numFmtId="0" fontId="0" fillId="0" borderId="0" xfId="0" applyFill="1" applyBorder="1" applyAlignment="1"/>
    <xf numFmtId="0" fontId="0" fillId="0" borderId="0" xfId="0" applyFill="1" applyBorder="1" applyAlignment="1">
      <alignment horizontal="left" vertical="center"/>
    </xf>
    <xf numFmtId="0" fontId="0" fillId="0" borderId="0" xfId="0" applyFill="1" applyBorder="1" applyAlignment="1">
      <alignment horizontal="right"/>
    </xf>
    <xf numFmtId="0" fontId="0" fillId="0" borderId="0" xfId="0" applyFill="1" applyBorder="1" applyAlignment="1">
      <alignment horizontal="center"/>
    </xf>
    <xf numFmtId="10" fontId="0" fillId="0" borderId="0" xfId="1" applyNumberFormat="1" applyFont="1" applyFill="1" applyBorder="1" applyAlignment="1"/>
    <xf numFmtId="10" fontId="0" fillId="0" borderId="0" xfId="0" applyNumberFormat="1" applyFill="1" applyBorder="1"/>
    <xf numFmtId="166" fontId="0" fillId="0" borderId="0" xfId="0" applyNumberFormat="1" applyFill="1" applyBorder="1"/>
    <xf numFmtId="10" fontId="0" fillId="0" borderId="0" xfId="0" applyNumberFormat="1" applyFill="1" applyBorder="1" applyAlignment="1"/>
    <xf numFmtId="9" fontId="0" fillId="0" borderId="0" xfId="0" applyNumberFormat="1" applyBorder="1"/>
    <xf numFmtId="168" fontId="0" fillId="0" borderId="9" xfId="0" applyNumberFormat="1" applyBorder="1"/>
    <xf numFmtId="0" fontId="0" fillId="0" borderId="9" xfId="0" applyBorder="1"/>
    <xf numFmtId="0" fontId="6" fillId="0" borderId="0" xfId="0" applyFont="1" applyAlignment="1">
      <alignment horizontal="center"/>
    </xf>
    <xf numFmtId="0" fontId="6" fillId="0" borderId="0" xfId="0" applyFont="1" applyBorder="1" applyAlignment="1">
      <alignment horizontal="center"/>
    </xf>
    <xf numFmtId="0" fontId="6" fillId="0" borderId="0" xfId="0" applyFont="1" applyFill="1" applyBorder="1" applyAlignment="1">
      <alignment horizontal="center"/>
    </xf>
    <xf numFmtId="169" fontId="0" fillId="7" borderId="4" xfId="0" applyNumberFormat="1" applyFill="1" applyBorder="1" applyAlignment="1"/>
    <xf numFmtId="169" fontId="0" fillId="7" borderId="6" xfId="0" applyNumberFormat="1" applyFill="1" applyBorder="1" applyAlignment="1"/>
    <xf numFmtId="169" fontId="0" fillId="7" borderId="35" xfId="0" applyNumberFormat="1" applyFill="1" applyBorder="1" applyAlignment="1"/>
    <xf numFmtId="169" fontId="0" fillId="7" borderId="14" xfId="0" applyNumberFormat="1" applyFill="1" applyBorder="1" applyAlignment="1"/>
    <xf numFmtId="169" fontId="0" fillId="7" borderId="17" xfId="0" applyNumberFormat="1" applyFill="1" applyBorder="1" applyAlignment="1"/>
    <xf numFmtId="168" fontId="0" fillId="3" borderId="0" xfId="0" applyNumberFormat="1" applyFill="1" applyBorder="1" applyAlignment="1"/>
    <xf numFmtId="2" fontId="0" fillId="0" borderId="0" xfId="0" applyNumberFormat="1" applyBorder="1"/>
    <xf numFmtId="164" fontId="0" fillId="3" borderId="0" xfId="0" applyNumberFormat="1" applyFill="1" applyBorder="1" applyAlignment="1"/>
    <xf numFmtId="169" fontId="0" fillId="0" borderId="0" xfId="0" applyNumberFormat="1"/>
    <xf numFmtId="164" fontId="0" fillId="3" borderId="23" xfId="0" applyNumberFormat="1" applyFill="1" applyBorder="1" applyAlignment="1"/>
    <xf numFmtId="0" fontId="0" fillId="0" borderId="10" xfId="0" applyBorder="1" applyAlignment="1">
      <alignment horizontal="center"/>
    </xf>
    <xf numFmtId="0" fontId="0" fillId="0" borderId="12" xfId="0" applyBorder="1" applyAlignment="1">
      <alignment horizontal="center"/>
    </xf>
    <xf numFmtId="0" fontId="0" fillId="0" borderId="23" xfId="0" applyBorder="1"/>
    <xf numFmtId="9" fontId="0" fillId="0" borderId="18" xfId="0" applyNumberFormat="1" applyBorder="1"/>
    <xf numFmtId="9" fontId="0" fillId="0" borderId="19" xfId="0" applyNumberFormat="1" applyBorder="1"/>
    <xf numFmtId="168" fontId="0" fillId="0" borderId="0" xfId="0" applyNumberFormat="1"/>
    <xf numFmtId="0" fontId="0" fillId="0" borderId="0" xfId="0" quotePrefix="1" applyFill="1" applyBorder="1"/>
    <xf numFmtId="170" fontId="0" fillId="0" borderId="0" xfId="1" applyNumberFormat="1" applyFont="1"/>
    <xf numFmtId="0" fontId="0" fillId="5" borderId="13" xfId="0" applyFill="1" applyBorder="1" applyAlignment="1">
      <alignment horizontal="center"/>
    </xf>
    <xf numFmtId="0" fontId="0" fillId="3" borderId="8" xfId="0" applyFill="1" applyBorder="1" applyAlignment="1">
      <alignment horizontal="center"/>
    </xf>
    <xf numFmtId="0" fontId="0" fillId="5" borderId="8" xfId="0" applyFill="1" applyBorder="1" applyAlignment="1">
      <alignment horizontal="center"/>
    </xf>
    <xf numFmtId="0" fontId="0" fillId="3" borderId="14" xfId="0" applyFill="1" applyBorder="1" applyAlignment="1">
      <alignment horizontal="center"/>
    </xf>
    <xf numFmtId="0" fontId="0" fillId="4" borderId="8" xfId="0" applyFill="1" applyBorder="1" applyAlignment="1">
      <alignment horizontal="center"/>
    </xf>
    <xf numFmtId="0" fontId="0" fillId="6" borderId="14" xfId="0" applyFill="1" applyBorder="1" applyAlignment="1">
      <alignment horizontal="center"/>
    </xf>
    <xf numFmtId="0" fontId="0" fillId="0" borderId="12" xfId="0" applyBorder="1" applyAlignment="1">
      <alignment horizontal="left"/>
    </xf>
    <xf numFmtId="0" fontId="0" fillId="0" borderId="19" xfId="0" applyBorder="1" applyAlignment="1">
      <alignment horizontal="left"/>
    </xf>
    <xf numFmtId="0" fontId="0" fillId="0" borderId="21" xfId="0" applyBorder="1" applyAlignment="1">
      <alignment horizontal="center"/>
    </xf>
    <xf numFmtId="0" fontId="0" fillId="0" borderId="22" xfId="0" applyBorder="1" applyAlignment="1">
      <alignment horizontal="center"/>
    </xf>
    <xf numFmtId="164" fontId="0" fillId="0" borderId="0" xfId="0" applyNumberFormat="1" applyBorder="1"/>
    <xf numFmtId="0" fontId="6" fillId="0" borderId="0" xfId="0" applyFont="1" applyBorder="1" applyAlignment="1">
      <alignment horizontal="center" vertical="center"/>
    </xf>
    <xf numFmtId="0" fontId="7" fillId="0" borderId="0" xfId="0" applyFont="1" applyBorder="1"/>
    <xf numFmtId="0" fontId="7" fillId="0" borderId="0" xfId="0" applyFont="1"/>
    <xf numFmtId="0" fontId="8" fillId="0" borderId="0" xfId="0" applyFont="1"/>
    <xf numFmtId="166" fontId="0" fillId="0" borderId="0" xfId="0" applyNumberFormat="1" applyBorder="1"/>
    <xf numFmtId="2" fontId="0" fillId="0" borderId="0" xfId="0" applyNumberFormat="1" applyAlignment="1"/>
    <xf numFmtId="0" fontId="0" fillId="0" borderId="0" xfId="0" applyBorder="1" applyAlignment="1">
      <alignment horizontal="left"/>
    </xf>
    <xf numFmtId="0" fontId="4" fillId="0" borderId="0" xfId="2" applyBorder="1"/>
    <xf numFmtId="0" fontId="0" fillId="13" borderId="14" xfId="0" applyFill="1" applyBorder="1" applyAlignment="1">
      <alignment horizontal="center"/>
    </xf>
    <xf numFmtId="0" fontId="0" fillId="14" borderId="14" xfId="0" applyFill="1" applyBorder="1" applyAlignment="1">
      <alignment horizontal="center"/>
    </xf>
    <xf numFmtId="0" fontId="3" fillId="0" borderId="0" xfId="0" applyFont="1" applyFill="1" applyBorder="1" applyAlignment="1">
      <alignment horizontal="left" vertical="center"/>
    </xf>
    <xf numFmtId="164" fontId="0" fillId="0" borderId="0" xfId="0" applyNumberFormat="1" applyFill="1" applyBorder="1" applyAlignment="1"/>
    <xf numFmtId="0" fontId="0" fillId="0" borderId="22" xfId="0" applyBorder="1" applyAlignment="1"/>
    <xf numFmtId="0" fontId="0" fillId="5" borderId="44" xfId="0" applyFill="1" applyBorder="1" applyAlignment="1">
      <alignment horizontal="center"/>
    </xf>
    <xf numFmtId="0" fontId="0" fillId="3" borderId="45" xfId="0" applyFill="1" applyBorder="1" applyAlignment="1">
      <alignment horizontal="center"/>
    </xf>
    <xf numFmtId="0" fontId="0" fillId="3" borderId="46" xfId="0" applyFill="1" applyBorder="1" applyAlignment="1">
      <alignment horizontal="center"/>
    </xf>
    <xf numFmtId="0" fontId="3" fillId="8" borderId="10" xfId="0" applyFont="1" applyFill="1" applyBorder="1" applyAlignment="1">
      <alignment horizontal="left" vertical="center"/>
    </xf>
    <xf numFmtId="0" fontId="3" fillId="8" borderId="11" xfId="0" applyFont="1" applyFill="1" applyBorder="1" applyAlignment="1">
      <alignment horizontal="left" vertical="center"/>
    </xf>
    <xf numFmtId="0" fontId="3" fillId="8" borderId="12" xfId="0" applyFont="1" applyFill="1" applyBorder="1" applyAlignment="1">
      <alignment horizontal="left" vertical="center"/>
    </xf>
    <xf numFmtId="0" fontId="0" fillId="5" borderId="48" xfId="0" applyFill="1" applyBorder="1" applyAlignment="1">
      <alignment horizontal="center"/>
    </xf>
    <xf numFmtId="0" fontId="0" fillId="7" borderId="41" xfId="0" applyFill="1" applyBorder="1" applyAlignment="1"/>
    <xf numFmtId="164" fontId="0" fillId="7" borderId="39" xfId="0" applyNumberFormat="1" applyFill="1" applyBorder="1" applyAlignment="1"/>
    <xf numFmtId="0" fontId="0" fillId="5" borderId="21" xfId="0" applyFill="1" applyBorder="1" applyAlignment="1"/>
    <xf numFmtId="164" fontId="0" fillId="7" borderId="22" xfId="0" applyNumberFormat="1" applyFill="1" applyBorder="1" applyAlignment="1"/>
    <xf numFmtId="2" fontId="0" fillId="0" borderId="0" xfId="0" applyNumberFormat="1" applyBorder="1" applyAlignment="1"/>
    <xf numFmtId="166" fontId="0" fillId="6" borderId="7" xfId="1" applyNumberFormat="1" applyFont="1" applyFill="1" applyBorder="1" applyAlignment="1">
      <alignment horizontal="center"/>
    </xf>
    <xf numFmtId="166" fontId="0" fillId="3" borderId="7" xfId="1" applyNumberFormat="1" applyFont="1" applyFill="1" applyBorder="1" applyAlignment="1">
      <alignment horizontal="center"/>
    </xf>
    <xf numFmtId="166" fontId="0" fillId="4" borderId="7" xfId="1" applyNumberFormat="1" applyFont="1" applyFill="1" applyBorder="1" applyAlignment="1">
      <alignment horizontal="center"/>
    </xf>
    <xf numFmtId="166" fontId="0" fillId="5" borderId="7" xfId="1" applyNumberFormat="1" applyFont="1" applyFill="1" applyBorder="1" applyAlignment="1">
      <alignment horizontal="center"/>
    </xf>
    <xf numFmtId="2" fontId="0" fillId="6" borderId="4" xfId="0" applyNumberFormat="1" applyFill="1" applyBorder="1" applyAlignment="1">
      <alignment horizontal="center"/>
    </xf>
    <xf numFmtId="2" fontId="0" fillId="3" borderId="7" xfId="0" applyNumberFormat="1" applyFill="1" applyBorder="1" applyAlignment="1">
      <alignment horizontal="center"/>
    </xf>
    <xf numFmtId="2" fontId="0" fillId="4" borderId="7" xfId="0" applyNumberFormat="1" applyFill="1" applyBorder="1" applyAlignment="1">
      <alignment horizontal="center"/>
    </xf>
    <xf numFmtId="2" fontId="0" fillId="5" borderId="3" xfId="0" applyNumberFormat="1" applyFill="1" applyBorder="1" applyAlignment="1">
      <alignment horizontal="center"/>
    </xf>
    <xf numFmtId="2" fontId="0" fillId="3" borderId="0" xfId="1" applyNumberFormat="1" applyFont="1" applyFill="1" applyBorder="1" applyAlignment="1">
      <alignment horizontal="center"/>
    </xf>
    <xf numFmtId="2" fontId="0" fillId="4" borderId="0" xfId="1" applyNumberFormat="1" applyFont="1" applyFill="1" applyBorder="1" applyAlignment="1">
      <alignment horizontal="center"/>
    </xf>
    <xf numFmtId="166" fontId="0" fillId="6" borderId="8" xfId="1" applyNumberFormat="1" applyFont="1" applyFill="1" applyBorder="1" applyAlignment="1">
      <alignment horizontal="center"/>
    </xf>
    <xf numFmtId="166" fontId="0" fillId="3" borderId="8" xfId="1" applyNumberFormat="1" applyFont="1" applyFill="1" applyBorder="1" applyAlignment="1">
      <alignment horizontal="center"/>
    </xf>
    <xf numFmtId="166" fontId="0" fillId="4" borderId="8" xfId="1" applyNumberFormat="1" applyFont="1" applyFill="1" applyBorder="1" applyAlignment="1">
      <alignment horizontal="center"/>
    </xf>
    <xf numFmtId="166" fontId="0" fillId="5" borderId="8" xfId="1" applyNumberFormat="1" applyFont="1" applyFill="1" applyBorder="1" applyAlignment="1">
      <alignment horizontal="center"/>
    </xf>
    <xf numFmtId="2" fontId="0" fillId="6" borderId="14" xfId="0" applyNumberFormat="1" applyFill="1" applyBorder="1" applyAlignment="1">
      <alignment horizontal="center"/>
    </xf>
    <xf numFmtId="2" fontId="0" fillId="3" borderId="8" xfId="0" applyNumberFormat="1" applyFill="1" applyBorder="1" applyAlignment="1">
      <alignment horizontal="center"/>
    </xf>
    <xf numFmtId="2" fontId="0" fillId="4" borderId="8" xfId="0" applyNumberFormat="1" applyFill="1" applyBorder="1" applyAlignment="1">
      <alignment horizontal="center"/>
    </xf>
    <xf numFmtId="2" fontId="0" fillId="5" borderId="13" xfId="0" applyNumberFormat="1" applyFill="1" applyBorder="1" applyAlignment="1">
      <alignment horizontal="center"/>
    </xf>
    <xf numFmtId="166" fontId="0" fillId="6" borderId="0" xfId="1" applyNumberFormat="1" applyFont="1" applyFill="1" applyBorder="1" applyAlignment="1">
      <alignment horizontal="center"/>
    </xf>
    <xf numFmtId="166" fontId="0" fillId="3" borderId="0" xfId="1" applyNumberFormat="1" applyFont="1" applyFill="1" applyBorder="1" applyAlignment="1">
      <alignment horizontal="center"/>
    </xf>
    <xf numFmtId="166" fontId="0" fillId="4" borderId="0" xfId="1" applyNumberFormat="1" applyFont="1" applyFill="1" applyBorder="1" applyAlignment="1">
      <alignment horizontal="center"/>
    </xf>
    <xf numFmtId="166" fontId="0" fillId="5" borderId="0" xfId="1" applyNumberFormat="1" applyFont="1" applyFill="1" applyBorder="1" applyAlignment="1">
      <alignment horizontal="center"/>
    </xf>
    <xf numFmtId="2" fontId="0" fillId="6" borderId="6" xfId="0" applyNumberFormat="1" applyFill="1" applyBorder="1" applyAlignment="1">
      <alignment horizontal="center"/>
    </xf>
    <xf numFmtId="2" fontId="0" fillId="3" borderId="0" xfId="0" applyNumberFormat="1" applyFill="1" applyBorder="1" applyAlignment="1">
      <alignment horizontal="center"/>
    </xf>
    <xf numFmtId="2" fontId="0" fillId="4" borderId="0" xfId="0" applyNumberFormat="1" applyFill="1" applyBorder="1" applyAlignment="1">
      <alignment horizontal="center"/>
    </xf>
    <xf numFmtId="2" fontId="0" fillId="5" borderId="5" xfId="0" applyNumberFormat="1" applyFill="1" applyBorder="1" applyAlignment="1">
      <alignment horizontal="center"/>
    </xf>
    <xf numFmtId="2" fontId="0" fillId="3" borderId="7" xfId="1" applyNumberFormat="1" applyFont="1" applyFill="1" applyBorder="1" applyAlignment="1">
      <alignment horizontal="center"/>
    </xf>
    <xf numFmtId="2" fontId="0" fillId="4" borderId="7" xfId="1" applyNumberFormat="1" applyFont="1" applyFill="1" applyBorder="1" applyAlignment="1">
      <alignment horizontal="center"/>
    </xf>
    <xf numFmtId="0" fontId="0" fillId="6" borderId="8" xfId="0" applyFill="1" applyBorder="1" applyAlignment="1">
      <alignment horizontal="center"/>
    </xf>
    <xf numFmtId="0" fontId="0" fillId="0" borderId="2" xfId="0" applyBorder="1"/>
    <xf numFmtId="0" fontId="0" fillId="0" borderId="8" xfId="0" applyBorder="1" applyAlignment="1"/>
    <xf numFmtId="0" fontId="0" fillId="0" borderId="6" xfId="0" applyBorder="1" applyAlignment="1"/>
    <xf numFmtId="0" fontId="3" fillId="8" borderId="2" xfId="0" applyFont="1" applyFill="1" applyBorder="1" applyAlignment="1">
      <alignment horizontal="center" vertical="center"/>
    </xf>
    <xf numFmtId="0" fontId="12" fillId="0" borderId="0" xfId="0" applyFont="1"/>
    <xf numFmtId="0" fontId="0" fillId="0" borderId="29" xfId="0" applyBorder="1" applyAlignment="1"/>
    <xf numFmtId="0" fontId="7" fillId="0" borderId="0" xfId="0" applyFont="1" applyFill="1" applyBorder="1"/>
    <xf numFmtId="0" fontId="0" fillId="2" borderId="28" xfId="0" applyFill="1" applyBorder="1" applyAlignment="1"/>
    <xf numFmtId="0" fontId="0" fillId="0" borderId="7" xfId="0" applyBorder="1"/>
    <xf numFmtId="164" fontId="0" fillId="2" borderId="17" xfId="0" applyNumberFormat="1" applyFill="1" applyBorder="1" applyAlignment="1"/>
    <xf numFmtId="0" fontId="0" fillId="5" borderId="36" xfId="0" applyFill="1" applyBorder="1" applyAlignment="1">
      <alignment horizontal="center"/>
    </xf>
    <xf numFmtId="0" fontId="0" fillId="3" borderId="41" xfId="0" applyFill="1" applyBorder="1" applyAlignment="1">
      <alignment horizontal="center"/>
    </xf>
    <xf numFmtId="0" fontId="0" fillId="0" borderId="12" xfId="0" applyBorder="1" applyAlignment="1"/>
    <xf numFmtId="0" fontId="0" fillId="0" borderId="19" xfId="0" applyBorder="1" applyAlignment="1"/>
    <xf numFmtId="0" fontId="0" fillId="0" borderId="11" xfId="0" applyBorder="1" applyAlignment="1"/>
    <xf numFmtId="0" fontId="0" fillId="0" borderId="23" xfId="0" applyBorder="1" applyAlignment="1"/>
    <xf numFmtId="164" fontId="0" fillId="0" borderId="0" xfId="0" applyNumberFormat="1" applyBorder="1" applyAlignment="1">
      <alignment horizontal="center"/>
    </xf>
    <xf numFmtId="1" fontId="0" fillId="0" borderId="0" xfId="0" applyNumberFormat="1" applyBorder="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0" fontId="0" fillId="0" borderId="7" xfId="0" applyBorder="1" applyAlignment="1"/>
    <xf numFmtId="2" fontId="0" fillId="0" borderId="7" xfId="1" applyNumberFormat="1" applyFont="1" applyBorder="1" applyAlignment="1"/>
    <xf numFmtId="0" fontId="0" fillId="0" borderId="2" xfId="0" applyBorder="1" applyAlignment="1"/>
    <xf numFmtId="0" fontId="0" fillId="0" borderId="4" xfId="0" applyBorder="1" applyAlignment="1"/>
    <xf numFmtId="165" fontId="0" fillId="2" borderId="17" xfId="0" applyNumberFormat="1" applyFill="1" applyBorder="1" applyAlignment="1"/>
    <xf numFmtId="165" fontId="0" fillId="2" borderId="15" xfId="0" applyNumberFormat="1" applyFill="1" applyBorder="1" applyAlignment="1"/>
    <xf numFmtId="165" fontId="0" fillId="2" borderId="28" xfId="0" applyNumberFormat="1" applyFill="1" applyBorder="1" applyAlignment="1"/>
    <xf numFmtId="0" fontId="0" fillId="0" borderId="9" xfId="0" applyBorder="1" applyAlignment="1"/>
    <xf numFmtId="0" fontId="0" fillId="0" borderId="7" xfId="0" applyFill="1" applyBorder="1" applyAlignment="1"/>
    <xf numFmtId="0" fontId="4" fillId="0" borderId="7" xfId="2" applyBorder="1"/>
    <xf numFmtId="0" fontId="0" fillId="0" borderId="7" xfId="0" applyFill="1" applyBorder="1"/>
    <xf numFmtId="0" fontId="0" fillId="0" borderId="9" xfId="0" applyBorder="1" applyAlignment="1">
      <alignment horizontal="center"/>
    </xf>
    <xf numFmtId="164" fontId="0" fillId="0" borderId="7" xfId="0" applyNumberFormat="1" applyBorder="1" applyAlignment="1">
      <alignment horizontal="center"/>
    </xf>
    <xf numFmtId="0" fontId="0" fillId="0" borderId="0" xfId="0" applyAlignment="1">
      <alignment horizontal="center" vertical="center"/>
    </xf>
    <xf numFmtId="0" fontId="0" fillId="0" borderId="9" xfId="0" applyBorder="1" applyAlignment="1">
      <alignment horizontal="left"/>
    </xf>
    <xf numFmtId="0" fontId="0" fillId="0" borderId="7" xfId="0" applyBorder="1" applyAlignment="1">
      <alignment horizontal="left"/>
    </xf>
    <xf numFmtId="0" fontId="0" fillId="0" borderId="11" xfId="0" applyFill="1" applyBorder="1" applyAlignment="1"/>
    <xf numFmtId="0" fontId="0" fillId="0" borderId="11" xfId="0" applyBorder="1" applyAlignment="1">
      <alignment horizontal="center"/>
    </xf>
    <xf numFmtId="164" fontId="0" fillId="0" borderId="23" xfId="0" applyNumberFormat="1" applyBorder="1" applyAlignment="1">
      <alignment horizontal="center"/>
    </xf>
    <xf numFmtId="0" fontId="0" fillId="0" borderId="11" xfId="0" applyFill="1" applyBorder="1" applyAlignment="1">
      <alignment horizontal="center"/>
    </xf>
    <xf numFmtId="0" fontId="0" fillId="0" borderId="22" xfId="0" applyBorder="1" applyAlignment="1">
      <alignment horizontal="left"/>
    </xf>
    <xf numFmtId="166" fontId="0" fillId="0" borderId="0" xfId="0" applyNumberFormat="1" applyBorder="1" applyAlignment="1"/>
    <xf numFmtId="2" fontId="0" fillId="5" borderId="18" xfId="1" applyNumberFormat="1" applyFont="1" applyFill="1" applyBorder="1" applyAlignment="1">
      <alignment horizontal="center"/>
    </xf>
    <xf numFmtId="2" fontId="0" fillId="4" borderId="23" xfId="1" applyNumberFormat="1" applyFont="1" applyFill="1" applyBorder="1" applyAlignment="1">
      <alignment horizontal="center"/>
    </xf>
    <xf numFmtId="2" fontId="0" fillId="3" borderId="23" xfId="1" applyNumberFormat="1" applyFont="1" applyFill="1" applyBorder="1" applyAlignment="1">
      <alignment horizontal="center"/>
    </xf>
    <xf numFmtId="2" fontId="0" fillId="6" borderId="19" xfId="1" applyNumberFormat="1" applyFont="1" applyFill="1" applyBorder="1" applyAlignment="1">
      <alignment horizontal="center"/>
    </xf>
    <xf numFmtId="2" fontId="0" fillId="4" borderId="8" xfId="1" applyNumberFormat="1" applyFont="1" applyFill="1" applyBorder="1" applyAlignment="1">
      <alignment horizontal="center"/>
    </xf>
    <xf numFmtId="2" fontId="0" fillId="3" borderId="8" xfId="1" applyNumberFormat="1" applyFont="1" applyFill="1" applyBorder="1" applyAlignment="1">
      <alignment horizontal="center"/>
    </xf>
    <xf numFmtId="165" fontId="0" fillId="2" borderId="16" xfId="0" applyNumberFormat="1" applyFill="1" applyBorder="1" applyAlignment="1"/>
    <xf numFmtId="165" fontId="0" fillId="2" borderId="37" xfId="0" applyNumberFormat="1" applyFill="1" applyBorder="1" applyAlignment="1"/>
    <xf numFmtId="0" fontId="0" fillId="0" borderId="9" xfId="0" applyFill="1" applyBorder="1" applyAlignment="1"/>
    <xf numFmtId="0" fontId="0" fillId="0" borderId="3" xfId="0" applyBorder="1" applyAlignment="1"/>
    <xf numFmtId="2" fontId="0" fillId="0" borderId="7" xfId="0" applyNumberFormat="1" applyBorder="1" applyAlignment="1"/>
    <xf numFmtId="0" fontId="0" fillId="0" borderId="5" xfId="0" applyBorder="1" applyAlignment="1"/>
    <xf numFmtId="166" fontId="0" fillId="5" borderId="0" xfId="1" applyNumberFormat="1" applyFont="1" applyFill="1" applyBorder="1" applyAlignment="1"/>
    <xf numFmtId="0" fontId="0" fillId="3" borderId="22" xfId="0" applyFill="1" applyBorder="1" applyAlignment="1"/>
    <xf numFmtId="0" fontId="0" fillId="2" borderId="14" xfId="0" applyFill="1" applyBorder="1" applyAlignment="1"/>
    <xf numFmtId="0" fontId="0" fillId="2" borderId="0" xfId="0" applyFill="1" applyBorder="1" applyAlignment="1"/>
    <xf numFmtId="0" fontId="0" fillId="3" borderId="23" xfId="0" applyFill="1" applyBorder="1"/>
    <xf numFmtId="0" fontId="3" fillId="8" borderId="53" xfId="0" applyFont="1" applyFill="1" applyBorder="1" applyAlignment="1">
      <alignment horizontal="left" vertical="center"/>
    </xf>
    <xf numFmtId="0" fontId="0" fillId="6" borderId="39" xfId="0" applyFill="1" applyBorder="1" applyAlignment="1"/>
    <xf numFmtId="9" fontId="0" fillId="6" borderId="7" xfId="1" applyNumberFormat="1" applyFont="1" applyFill="1" applyBorder="1" applyAlignment="1"/>
    <xf numFmtId="9" fontId="0" fillId="6" borderId="0" xfId="1" applyNumberFormat="1" applyFont="1" applyFill="1" applyBorder="1" applyAlignment="1"/>
    <xf numFmtId="9" fontId="0" fillId="6" borderId="8" xfId="1" applyNumberFormat="1" applyFont="1" applyFill="1" applyBorder="1" applyAlignment="1"/>
    <xf numFmtId="165" fontId="0" fillId="0" borderId="0" xfId="0" applyNumberFormat="1" applyFill="1" applyBorder="1"/>
    <xf numFmtId="165" fontId="0" fillId="2" borderId="6" xfId="0" applyNumberFormat="1" applyFill="1" applyBorder="1" applyAlignment="1"/>
    <xf numFmtId="165" fontId="0" fillId="2" borderId="14" xfId="0" applyNumberFormat="1" applyFill="1" applyBorder="1" applyAlignment="1"/>
    <xf numFmtId="165" fontId="0" fillId="2" borderId="4" xfId="0" applyNumberFormat="1" applyFill="1" applyBorder="1" applyAlignment="1"/>
    <xf numFmtId="165" fontId="0" fillId="2" borderId="52" xfId="0" applyNumberFormat="1" applyFill="1" applyBorder="1" applyAlignment="1"/>
    <xf numFmtId="171" fontId="0" fillId="7" borderId="4" xfId="0" applyNumberFormat="1" applyFill="1" applyBorder="1" applyAlignment="1"/>
    <xf numFmtId="171" fontId="0" fillId="7" borderId="6" xfId="0" applyNumberFormat="1" applyFill="1" applyBorder="1" applyAlignment="1"/>
    <xf numFmtId="171" fontId="0" fillId="7" borderId="14" xfId="0" applyNumberFormat="1" applyFill="1" applyBorder="1" applyAlignment="1"/>
    <xf numFmtId="168" fontId="0" fillId="0" borderId="0" xfId="0" applyNumberFormat="1" applyBorder="1"/>
    <xf numFmtId="171" fontId="0" fillId="0" borderId="0" xfId="0" applyNumberFormat="1" applyBorder="1"/>
    <xf numFmtId="0" fontId="0" fillId="0" borderId="0" xfId="0" applyBorder="1" applyAlignment="1">
      <alignment vertical="top"/>
    </xf>
    <xf numFmtId="0" fontId="0" fillId="0" borderId="0" xfId="0" applyBorder="1" applyAlignment="1">
      <alignment horizontal="center" wrapText="1"/>
    </xf>
    <xf numFmtId="0" fontId="0" fillId="6" borderId="41" xfId="0" applyFill="1" applyBorder="1" applyAlignment="1">
      <alignment horizontal="center"/>
    </xf>
    <xf numFmtId="2" fontId="0" fillId="5" borderId="27" xfId="0" applyNumberFormat="1" applyFill="1" applyBorder="1" applyAlignment="1">
      <alignment horizontal="center"/>
    </xf>
    <xf numFmtId="2" fontId="0" fillId="6" borderId="39" xfId="0" applyNumberFormat="1" applyFill="1" applyBorder="1" applyAlignment="1">
      <alignment horizontal="center"/>
    </xf>
    <xf numFmtId="2" fontId="0" fillId="5" borderId="21" xfId="0" applyNumberFormat="1" applyFill="1" applyBorder="1" applyAlignment="1">
      <alignment horizontal="center"/>
    </xf>
    <xf numFmtId="2" fontId="0" fillId="6" borderId="22" xfId="0" applyNumberFormat="1" applyFill="1" applyBorder="1" applyAlignment="1">
      <alignment horizontal="center"/>
    </xf>
    <xf numFmtId="2" fontId="0" fillId="5" borderId="36" xfId="0" applyNumberFormat="1" applyFill="1" applyBorder="1" applyAlignment="1">
      <alignment horizontal="center"/>
    </xf>
    <xf numFmtId="2" fontId="0" fillId="6" borderId="41" xfId="0" applyNumberFormat="1" applyFill="1" applyBorder="1" applyAlignment="1">
      <alignment horizontal="center"/>
    </xf>
    <xf numFmtId="2" fontId="0" fillId="5" borderId="18" xfId="0" applyNumberFormat="1" applyFill="1" applyBorder="1" applyAlignment="1">
      <alignment horizontal="center"/>
    </xf>
    <xf numFmtId="2" fontId="0" fillId="4" borderId="23" xfId="0" applyNumberFormat="1" applyFill="1" applyBorder="1" applyAlignment="1">
      <alignment horizontal="center"/>
    </xf>
    <xf numFmtId="2" fontId="0" fillId="3" borderId="23" xfId="0" applyNumberFormat="1" applyFill="1" applyBorder="1" applyAlignment="1">
      <alignment horizontal="center"/>
    </xf>
    <xf numFmtId="2" fontId="0" fillId="6" borderId="19" xfId="0" applyNumberFormat="1" applyFill="1" applyBorder="1" applyAlignment="1">
      <alignment horizontal="center"/>
    </xf>
    <xf numFmtId="166" fontId="0" fillId="5" borderId="27" xfId="1" applyNumberFormat="1" applyFont="1" applyFill="1" applyBorder="1" applyAlignment="1">
      <alignment horizontal="center"/>
    </xf>
    <xf numFmtId="166" fontId="0" fillId="6" borderId="39" xfId="1" applyNumberFormat="1" applyFont="1" applyFill="1" applyBorder="1" applyAlignment="1">
      <alignment horizontal="center"/>
    </xf>
    <xf numFmtId="166" fontId="0" fillId="5" borderId="21" xfId="1" applyNumberFormat="1" applyFont="1" applyFill="1" applyBorder="1" applyAlignment="1">
      <alignment horizontal="center"/>
    </xf>
    <xf numFmtId="166" fontId="0" fillId="6" borderId="22" xfId="1" applyNumberFormat="1" applyFont="1" applyFill="1" applyBorder="1" applyAlignment="1">
      <alignment horizontal="center"/>
    </xf>
    <xf numFmtId="166" fontId="0" fillId="5" borderId="36" xfId="1" applyNumberFormat="1" applyFont="1" applyFill="1" applyBorder="1" applyAlignment="1">
      <alignment horizontal="center"/>
    </xf>
    <xf numFmtId="166" fontId="0" fillId="6" borderId="41" xfId="1" applyNumberFormat="1" applyFont="1" applyFill="1" applyBorder="1" applyAlignment="1">
      <alignment horizontal="center"/>
    </xf>
    <xf numFmtId="2" fontId="0" fillId="5" borderId="27" xfId="1" applyNumberFormat="1" applyFont="1" applyFill="1" applyBorder="1" applyAlignment="1">
      <alignment horizontal="center"/>
    </xf>
    <xf numFmtId="2" fontId="0" fillId="6" borderId="39" xfId="1" applyNumberFormat="1" applyFont="1" applyFill="1" applyBorder="1" applyAlignment="1">
      <alignment horizontal="center"/>
    </xf>
    <xf numFmtId="2" fontId="0" fillId="5" borderId="21" xfId="1" applyNumberFormat="1" applyFont="1" applyFill="1" applyBorder="1" applyAlignment="1">
      <alignment horizontal="center"/>
    </xf>
    <xf numFmtId="2" fontId="0" fillId="6" borderId="22" xfId="1" applyNumberFormat="1" applyFont="1" applyFill="1" applyBorder="1" applyAlignment="1">
      <alignment horizontal="center"/>
    </xf>
    <xf numFmtId="2" fontId="0" fillId="5" borderId="36" xfId="1" applyNumberFormat="1" applyFont="1" applyFill="1" applyBorder="1" applyAlignment="1">
      <alignment horizontal="center"/>
    </xf>
    <xf numFmtId="2" fontId="0" fillId="6" borderId="41" xfId="1" applyNumberFormat="1" applyFont="1" applyFill="1" applyBorder="1" applyAlignment="1">
      <alignment horizontal="center"/>
    </xf>
    <xf numFmtId="0" fontId="0" fillId="2" borderId="12" xfId="0" applyFill="1" applyBorder="1" applyAlignment="1"/>
    <xf numFmtId="0" fontId="0" fillId="2" borderId="22" xfId="0" applyFill="1" applyBorder="1" applyAlignment="1"/>
    <xf numFmtId="0" fontId="0" fillId="2" borderId="41" xfId="0" applyFill="1" applyBorder="1" applyAlignment="1"/>
    <xf numFmtId="0" fontId="0" fillId="0" borderId="54" xfId="0" applyBorder="1"/>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horizontal="left" vertical="center"/>
    </xf>
    <xf numFmtId="0" fontId="1" fillId="0" borderId="29" xfId="0" applyFont="1" applyBorder="1" applyAlignment="1">
      <alignment horizontal="left" vertical="center"/>
    </xf>
    <xf numFmtId="0" fontId="14" fillId="18" borderId="0" xfId="0" applyFont="1" applyFill="1" applyBorder="1"/>
    <xf numFmtId="0" fontId="15" fillId="19" borderId="6" xfId="0" applyFont="1" applyFill="1" applyBorder="1"/>
    <xf numFmtId="0" fontId="0" fillId="2" borderId="21" xfId="0" applyFill="1" applyBorder="1" applyAlignment="1">
      <alignment horizontal="center"/>
    </xf>
    <xf numFmtId="0" fontId="0" fillId="7" borderId="6" xfId="0" applyFill="1" applyBorder="1" applyAlignment="1">
      <alignment horizontal="center"/>
    </xf>
    <xf numFmtId="0" fontId="0" fillId="2" borderId="0" xfId="0" applyFill="1" applyBorder="1" applyAlignment="1">
      <alignment horizontal="center"/>
    </xf>
    <xf numFmtId="0" fontId="0" fillId="7" borderId="22" xfId="0" applyFill="1" applyBorder="1" applyAlignment="1">
      <alignment horizontal="center"/>
    </xf>
    <xf numFmtId="0" fontId="0" fillId="5" borderId="3" xfId="0" applyFill="1" applyBorder="1" applyAlignment="1">
      <alignment horizontal="center"/>
    </xf>
    <xf numFmtId="0" fontId="0" fillId="4" borderId="7" xfId="0" applyFill="1" applyBorder="1" applyAlignment="1">
      <alignment horizontal="center"/>
    </xf>
    <xf numFmtId="0" fontId="0" fillId="3" borderId="7" xfId="0" applyFill="1" applyBorder="1" applyAlignment="1">
      <alignment horizontal="center"/>
    </xf>
    <xf numFmtId="0" fontId="0" fillId="6" borderId="4" xfId="0" applyFill="1" applyBorder="1" applyAlignment="1">
      <alignment horizontal="center"/>
    </xf>
    <xf numFmtId="9" fontId="0" fillId="5" borderId="3" xfId="1" applyNumberFormat="1" applyFont="1" applyFill="1" applyBorder="1" applyAlignment="1">
      <alignment horizontal="center"/>
    </xf>
    <xf numFmtId="9" fontId="0" fillId="4" borderId="7" xfId="1" applyNumberFormat="1" applyFont="1" applyFill="1" applyBorder="1" applyAlignment="1">
      <alignment horizontal="center"/>
    </xf>
    <xf numFmtId="9" fontId="0" fillId="3" borderId="7" xfId="1" applyNumberFormat="1" applyFont="1" applyFill="1" applyBorder="1" applyAlignment="1">
      <alignment horizontal="center"/>
    </xf>
    <xf numFmtId="9" fontId="0" fillId="6" borderId="4" xfId="1" applyNumberFormat="1" applyFont="1" applyFill="1" applyBorder="1" applyAlignment="1">
      <alignment horizontal="center"/>
    </xf>
    <xf numFmtId="0" fontId="0" fillId="5" borderId="5" xfId="0" applyFill="1" applyBorder="1" applyAlignment="1">
      <alignment horizontal="center"/>
    </xf>
    <xf numFmtId="0" fontId="0" fillId="4" borderId="0" xfId="0" applyFill="1" applyBorder="1" applyAlignment="1">
      <alignment horizontal="center"/>
    </xf>
    <xf numFmtId="0" fontId="0" fillId="3" borderId="0" xfId="0" applyFill="1" applyBorder="1" applyAlignment="1">
      <alignment horizontal="center"/>
    </xf>
    <xf numFmtId="0" fontId="0" fillId="6" borderId="6" xfId="0" applyFill="1" applyBorder="1" applyAlignment="1">
      <alignment horizontal="center"/>
    </xf>
    <xf numFmtId="9" fontId="0" fillId="5" borderId="5" xfId="1" applyNumberFormat="1" applyFont="1" applyFill="1" applyBorder="1" applyAlignment="1">
      <alignment horizontal="center"/>
    </xf>
    <xf numFmtId="9" fontId="0" fillId="4" borderId="0" xfId="1" applyNumberFormat="1" applyFont="1" applyFill="1" applyBorder="1" applyAlignment="1">
      <alignment horizontal="center"/>
    </xf>
    <xf numFmtId="9" fontId="0" fillId="3" borderId="0" xfId="1" applyNumberFormat="1" applyFont="1" applyFill="1" applyBorder="1" applyAlignment="1">
      <alignment horizontal="center"/>
    </xf>
    <xf numFmtId="9" fontId="0" fillId="6" borderId="6" xfId="1" applyNumberFormat="1" applyFont="1" applyFill="1" applyBorder="1" applyAlignment="1">
      <alignment horizontal="center"/>
    </xf>
    <xf numFmtId="168" fontId="0" fillId="5" borderId="28" xfId="0" applyNumberFormat="1" applyFill="1" applyBorder="1" applyAlignment="1">
      <alignment horizontal="center"/>
    </xf>
    <xf numFmtId="9" fontId="0" fillId="5" borderId="13" xfId="1" applyNumberFormat="1" applyFont="1" applyFill="1" applyBorder="1" applyAlignment="1">
      <alignment horizontal="center"/>
    </xf>
    <xf numFmtId="9" fontId="0" fillId="4" borderId="8" xfId="1" applyNumberFormat="1" applyFont="1" applyFill="1" applyBorder="1" applyAlignment="1">
      <alignment horizontal="center"/>
    </xf>
    <xf numFmtId="9" fontId="0" fillId="3" borderId="8" xfId="1" applyNumberFormat="1" applyFont="1" applyFill="1" applyBorder="1" applyAlignment="1">
      <alignment horizontal="center"/>
    </xf>
    <xf numFmtId="9" fontId="0" fillId="6" borderId="14" xfId="1" applyNumberFormat="1" applyFont="1" applyFill="1" applyBorder="1" applyAlignment="1">
      <alignment horizontal="center"/>
    </xf>
    <xf numFmtId="0" fontId="0" fillId="5" borderId="38" xfId="0" applyFill="1" applyBorder="1" applyAlignment="1">
      <alignment horizontal="center"/>
    </xf>
    <xf numFmtId="0" fontId="0" fillId="4" borderId="23" xfId="0" applyFill="1" applyBorder="1" applyAlignment="1">
      <alignment horizontal="center"/>
    </xf>
    <xf numFmtId="0" fontId="0" fillId="3" borderId="23" xfId="0" applyFill="1" applyBorder="1" applyAlignment="1">
      <alignment horizontal="center"/>
    </xf>
    <xf numFmtId="0" fontId="0" fillId="6" borderId="19" xfId="0" applyFill="1" applyBorder="1" applyAlignment="1">
      <alignment horizontal="center"/>
    </xf>
    <xf numFmtId="166" fontId="0" fillId="5" borderId="28" xfId="1" applyNumberFormat="1" applyFont="1" applyFill="1" applyBorder="1" applyAlignment="1">
      <alignment horizontal="center"/>
    </xf>
    <xf numFmtId="0" fontId="0" fillId="5" borderId="18" xfId="0" applyFill="1" applyBorder="1" applyAlignment="1">
      <alignment horizontal="center"/>
    </xf>
    <xf numFmtId="2" fontId="0" fillId="0" borderId="0" xfId="0" applyNumberFormat="1" applyFill="1" applyBorder="1" applyAlignment="1">
      <alignment horizontal="center"/>
    </xf>
    <xf numFmtId="166" fontId="0" fillId="0" borderId="0" xfId="1" applyNumberFormat="1" applyFont="1" applyFill="1" applyBorder="1" applyAlignment="1">
      <alignment horizontal="center"/>
    </xf>
    <xf numFmtId="9" fontId="0" fillId="0" borderId="0" xfId="0" applyNumberFormat="1" applyFill="1" applyBorder="1" applyAlignment="1"/>
    <xf numFmtId="2" fontId="0" fillId="5" borderId="10" xfId="0" applyNumberFormat="1" applyFill="1" applyBorder="1" applyAlignment="1">
      <alignment horizontal="center"/>
    </xf>
    <xf numFmtId="2" fontId="0" fillId="4" borderId="12" xfId="0" applyNumberFormat="1" applyFill="1" applyBorder="1" applyAlignment="1">
      <alignment horizontal="center"/>
    </xf>
    <xf numFmtId="2" fontId="0" fillId="3" borderId="18" xfId="0" applyNumberFormat="1" applyFill="1" applyBorder="1" applyAlignment="1">
      <alignment horizontal="center"/>
    </xf>
    <xf numFmtId="2" fontId="0" fillId="0" borderId="0" xfId="0" applyNumberFormat="1" applyFill="1" applyBorder="1" applyAlignment="1">
      <alignment horizontal="right"/>
    </xf>
    <xf numFmtId="10" fontId="0" fillId="5" borderId="10" xfId="1" applyNumberFormat="1" applyFont="1" applyFill="1" applyBorder="1" applyAlignment="1">
      <alignment horizontal="center"/>
    </xf>
    <xf numFmtId="10" fontId="0" fillId="4" borderId="12" xfId="1" applyNumberFormat="1" applyFont="1" applyFill="1" applyBorder="1" applyAlignment="1">
      <alignment horizontal="center"/>
    </xf>
    <xf numFmtId="10" fontId="0" fillId="0" borderId="0" xfId="1" applyNumberFormat="1" applyFont="1" applyFill="1" applyBorder="1"/>
    <xf numFmtId="10" fontId="0" fillId="3" borderId="18" xfId="1" applyNumberFormat="1" applyFont="1" applyFill="1" applyBorder="1" applyAlignment="1">
      <alignment horizontal="center"/>
    </xf>
    <xf numFmtId="10" fontId="0" fillId="6" borderId="19" xfId="1" applyNumberFormat="1" applyFont="1" applyFill="1" applyBorder="1" applyAlignment="1">
      <alignment horizontal="center"/>
    </xf>
    <xf numFmtId="10" fontId="0" fillId="0" borderId="0" xfId="1" applyNumberFormat="1" applyFont="1" applyFill="1" applyBorder="1" applyAlignment="1">
      <alignment horizontal="right"/>
    </xf>
    <xf numFmtId="10" fontId="0" fillId="0" borderId="0" xfId="1" applyNumberFormat="1" applyFont="1" applyFill="1" applyBorder="1" applyAlignment="1">
      <alignment horizontal="center"/>
    </xf>
    <xf numFmtId="164" fontId="0" fillId="5" borderId="10" xfId="0" applyNumberFormat="1" applyFill="1" applyBorder="1" applyAlignment="1">
      <alignment horizontal="center"/>
    </xf>
    <xf numFmtId="0" fontId="0" fillId="2" borderId="55" xfId="0" applyFill="1" applyBorder="1" applyAlignment="1"/>
    <xf numFmtId="164" fontId="0" fillId="7" borderId="43" xfId="0" applyNumberFormat="1" applyFill="1" applyBorder="1" applyAlignment="1"/>
    <xf numFmtId="164" fontId="0" fillId="7" borderId="19" xfId="0" applyNumberFormat="1" applyFill="1" applyBorder="1" applyAlignment="1"/>
    <xf numFmtId="164" fontId="0" fillId="4" borderId="12" xfId="0" applyNumberFormat="1" applyFill="1" applyBorder="1" applyAlignment="1">
      <alignment horizontal="center"/>
    </xf>
    <xf numFmtId="164" fontId="0" fillId="3" borderId="18" xfId="0" applyNumberFormat="1" applyFill="1" applyBorder="1" applyAlignment="1">
      <alignment horizontal="center"/>
    </xf>
    <xf numFmtId="164" fontId="0" fillId="6" borderId="19" xfId="0" applyNumberFormat="1" applyFill="1" applyBorder="1" applyAlignment="1">
      <alignment horizontal="center"/>
    </xf>
    <xf numFmtId="10" fontId="0" fillId="15" borderId="12" xfId="1" applyNumberFormat="1" applyFont="1" applyFill="1" applyBorder="1" applyAlignment="1">
      <alignment horizontal="center"/>
    </xf>
    <xf numFmtId="0" fontId="0" fillId="14" borderId="41" xfId="0" applyFill="1" applyBorder="1" applyAlignment="1">
      <alignment horizontal="center"/>
    </xf>
    <xf numFmtId="175" fontId="0" fillId="20" borderId="10" xfId="1" applyNumberFormat="1" applyFont="1" applyFill="1" applyBorder="1" applyAlignment="1">
      <alignment horizontal="center"/>
    </xf>
    <xf numFmtId="175" fontId="0" fillId="17" borderId="18" xfId="1" applyNumberFormat="1" applyFont="1" applyFill="1" applyBorder="1" applyAlignment="1">
      <alignment horizontal="center"/>
    </xf>
    <xf numFmtId="175" fontId="0" fillId="16" borderId="19" xfId="1" applyNumberFormat="1" applyFont="1" applyFill="1" applyBorder="1" applyAlignment="1">
      <alignment horizontal="center"/>
    </xf>
    <xf numFmtId="10" fontId="0" fillId="15" borderId="0" xfId="0" applyNumberFormat="1" applyFill="1"/>
    <xf numFmtId="164" fontId="0" fillId="5" borderId="5" xfId="0" applyNumberFormat="1" applyFill="1" applyBorder="1" applyAlignment="1">
      <alignment horizontal="center"/>
    </xf>
    <xf numFmtId="164" fontId="0" fillId="4" borderId="0" xfId="0" applyNumberFormat="1" applyFill="1" applyBorder="1" applyAlignment="1">
      <alignment horizontal="center"/>
    </xf>
    <xf numFmtId="174" fontId="0" fillId="7" borderId="4" xfId="0" applyNumberFormat="1" applyFill="1" applyBorder="1"/>
    <xf numFmtId="174" fontId="0" fillId="7" borderId="6" xfId="0" applyNumberFormat="1" applyFill="1" applyBorder="1"/>
    <xf numFmtId="174" fontId="0" fillId="7" borderId="14" xfId="0" applyNumberFormat="1" applyFill="1" applyBorder="1"/>
    <xf numFmtId="164" fontId="15" fillId="19" borderId="6" xfId="0" applyNumberFormat="1" applyFont="1" applyFill="1" applyBorder="1" applyAlignment="1">
      <alignment horizontal="center"/>
    </xf>
    <xf numFmtId="164" fontId="0" fillId="7" borderId="6" xfId="0" applyNumberFormat="1" applyFill="1" applyBorder="1" applyAlignment="1">
      <alignment horizontal="center"/>
    </xf>
    <xf numFmtId="164" fontId="16" fillId="7" borderId="6" xfId="0" applyNumberFormat="1" applyFont="1" applyFill="1" applyBorder="1" applyAlignment="1">
      <alignment horizontal="center"/>
    </xf>
    <xf numFmtId="164" fontId="0" fillId="7" borderId="49" xfId="0" applyNumberFormat="1" applyFill="1" applyBorder="1" applyAlignment="1">
      <alignment horizontal="center"/>
    </xf>
    <xf numFmtId="164" fontId="0" fillId="2" borderId="21" xfId="0" applyNumberFormat="1" applyFill="1" applyBorder="1" applyAlignment="1">
      <alignment horizontal="center"/>
    </xf>
    <xf numFmtId="164" fontId="16" fillId="2" borderId="21" xfId="0" applyNumberFormat="1" applyFont="1" applyFill="1" applyBorder="1" applyAlignment="1">
      <alignment horizontal="center"/>
    </xf>
    <xf numFmtId="164" fontId="0" fillId="2" borderId="18" xfId="0" applyNumberFormat="1" applyFill="1" applyBorder="1" applyAlignment="1">
      <alignment horizontal="center"/>
    </xf>
    <xf numFmtId="164" fontId="0" fillId="2" borderId="0" xfId="0" applyNumberFormat="1" applyFill="1" applyBorder="1" applyAlignment="1">
      <alignment horizontal="center"/>
    </xf>
    <xf numFmtId="164" fontId="15" fillId="19" borderId="22" xfId="0" applyNumberFormat="1" applyFont="1" applyFill="1" applyBorder="1" applyAlignment="1">
      <alignment horizontal="center"/>
    </xf>
    <xf numFmtId="164" fontId="0" fillId="7" borderId="22" xfId="0" applyNumberFormat="1" applyFill="1" applyBorder="1" applyAlignment="1">
      <alignment horizontal="center"/>
    </xf>
    <xf numFmtId="164" fontId="16" fillId="2" borderId="0" xfId="0" applyNumberFormat="1" applyFont="1" applyFill="1" applyBorder="1" applyAlignment="1">
      <alignment horizontal="center"/>
    </xf>
    <xf numFmtId="164" fontId="17" fillId="18" borderId="22" xfId="0" applyNumberFormat="1" applyFont="1" applyFill="1" applyBorder="1" applyAlignment="1">
      <alignment horizontal="center"/>
    </xf>
    <xf numFmtId="164" fontId="0" fillId="2" borderId="23" xfId="0" applyNumberFormat="1" applyFill="1" applyBorder="1" applyAlignment="1">
      <alignment horizontal="center"/>
    </xf>
    <xf numFmtId="164" fontId="0" fillId="7" borderId="19" xfId="0" applyNumberFormat="1" applyFill="1" applyBorder="1" applyAlignment="1">
      <alignment horizontal="center"/>
    </xf>
    <xf numFmtId="0" fontId="18" fillId="0" borderId="0" xfId="0" applyFont="1"/>
    <xf numFmtId="0" fontId="3" fillId="8" borderId="11" xfId="0" applyFont="1" applyFill="1" applyBorder="1" applyAlignment="1">
      <alignment horizontal="center" vertical="center"/>
    </xf>
    <xf numFmtId="2" fontId="0" fillId="12" borderId="28" xfId="0" applyNumberFormat="1" applyFill="1" applyBorder="1" applyAlignment="1"/>
    <xf numFmtId="166" fontId="0" fillId="21" borderId="38" xfId="1" applyNumberFormat="1" applyFont="1" applyFill="1" applyBorder="1" applyAlignment="1">
      <alignment horizontal="center"/>
    </xf>
    <xf numFmtId="166" fontId="0" fillId="21" borderId="49" xfId="1" applyNumberFormat="1" applyFont="1" applyFill="1" applyBorder="1" applyAlignment="1">
      <alignment horizontal="center"/>
    </xf>
    <xf numFmtId="0" fontId="0" fillId="0" borderId="2" xfId="0" applyFill="1" applyBorder="1" applyAlignment="1">
      <alignment horizontal="center"/>
    </xf>
    <xf numFmtId="166" fontId="0" fillId="21" borderId="7" xfId="1" applyNumberFormat="1" applyFont="1" applyFill="1" applyBorder="1" applyAlignment="1">
      <alignment horizontal="center"/>
    </xf>
    <xf numFmtId="166" fontId="0" fillId="21" borderId="4" xfId="1" applyNumberFormat="1" applyFont="1" applyFill="1" applyBorder="1" applyAlignment="1">
      <alignment horizontal="center"/>
    </xf>
    <xf numFmtId="0" fontId="0" fillId="7" borderId="17" xfId="0" applyFill="1" applyBorder="1"/>
    <xf numFmtId="0" fontId="3" fillId="8" borderId="10" xfId="0" applyFont="1" applyFill="1" applyBorder="1" applyAlignment="1">
      <alignment horizontal="center" vertical="center"/>
    </xf>
    <xf numFmtId="0" fontId="3" fillId="8" borderId="47" xfId="0" applyFont="1" applyFill="1" applyBorder="1" applyAlignment="1">
      <alignment horizontal="center" vertical="center"/>
    </xf>
    <xf numFmtId="0" fontId="3" fillId="8" borderId="29" xfId="0" applyFont="1" applyFill="1" applyBorder="1" applyAlignment="1">
      <alignment horizontal="center" vertical="center"/>
    </xf>
    <xf numFmtId="0" fontId="3" fillId="8" borderId="12" xfId="0" applyFont="1" applyFill="1" applyBorder="1" applyAlignment="1">
      <alignment horizontal="center" vertical="center"/>
    </xf>
    <xf numFmtId="0" fontId="6" fillId="0" borderId="0" xfId="0" applyFont="1" applyBorder="1" applyAlignment="1"/>
    <xf numFmtId="167" fontId="0" fillId="0" borderId="0" xfId="0" applyNumberFormat="1" applyBorder="1" applyAlignment="1">
      <alignment horizontal="center"/>
    </xf>
    <xf numFmtId="167" fontId="0" fillId="0" borderId="23" xfId="0" applyNumberFormat="1" applyBorder="1" applyAlignment="1">
      <alignment horizontal="center"/>
    </xf>
    <xf numFmtId="165" fontId="0" fillId="2" borderId="19" xfId="0" applyNumberFormat="1" applyFill="1" applyBorder="1" applyAlignment="1"/>
    <xf numFmtId="0" fontId="3" fillId="8" borderId="60" xfId="0" applyFont="1" applyFill="1" applyBorder="1" applyAlignment="1">
      <alignment horizontal="center" vertical="center" wrapText="1"/>
    </xf>
    <xf numFmtId="2" fontId="0" fillId="14" borderId="22" xfId="1" applyNumberFormat="1" applyFont="1" applyFill="1" applyBorder="1" applyAlignment="1">
      <alignment horizontal="center"/>
    </xf>
    <xf numFmtId="2" fontId="0" fillId="14" borderId="41" xfId="1" applyNumberFormat="1" applyFont="1" applyFill="1" applyBorder="1" applyAlignment="1">
      <alignment horizontal="center"/>
    </xf>
    <xf numFmtId="0" fontId="3" fillId="8" borderId="51" xfId="0" applyFont="1" applyFill="1" applyBorder="1" applyAlignment="1">
      <alignment horizontal="center" vertical="center" wrapText="1"/>
    </xf>
    <xf numFmtId="2" fontId="0" fillId="13" borderId="16" xfId="1" applyNumberFormat="1" applyFont="1" applyFill="1" applyBorder="1" applyAlignment="1">
      <alignment horizontal="center"/>
    </xf>
    <xf numFmtId="2" fontId="0" fillId="13" borderId="37" xfId="1" applyNumberFormat="1" applyFont="1" applyFill="1" applyBorder="1" applyAlignment="1">
      <alignment horizontal="center"/>
    </xf>
    <xf numFmtId="2" fontId="0" fillId="13" borderId="17" xfId="1" applyNumberFormat="1" applyFont="1" applyFill="1" applyBorder="1" applyAlignment="1">
      <alignment horizontal="center"/>
    </xf>
    <xf numFmtId="2" fontId="0" fillId="14" borderId="19" xfId="1" applyNumberFormat="1" applyFont="1" applyFill="1" applyBorder="1" applyAlignment="1">
      <alignment horizontal="center"/>
    </xf>
    <xf numFmtId="2" fontId="0" fillId="13" borderId="62" xfId="1" applyNumberFormat="1" applyFont="1" applyFill="1" applyBorder="1" applyAlignment="1">
      <alignment horizontal="center"/>
    </xf>
    <xf numFmtId="2" fontId="0" fillId="14" borderId="57" xfId="1" applyNumberFormat="1" applyFont="1" applyFill="1" applyBorder="1" applyAlignment="1">
      <alignment horizontal="center"/>
    </xf>
    <xf numFmtId="0" fontId="0" fillId="5" borderId="27" xfId="0" applyFill="1" applyBorder="1" applyAlignment="1">
      <alignment horizontal="center"/>
    </xf>
    <xf numFmtId="166" fontId="0" fillId="5" borderId="3" xfId="1" applyNumberFormat="1" applyFont="1" applyFill="1" applyBorder="1" applyAlignment="1">
      <alignment horizontal="center"/>
    </xf>
    <xf numFmtId="166" fontId="0" fillId="3" borderId="4" xfId="1" applyNumberFormat="1" applyFont="1" applyFill="1" applyBorder="1" applyAlignment="1">
      <alignment horizontal="center"/>
    </xf>
    <xf numFmtId="0" fontId="0" fillId="5" borderId="21" xfId="0" applyFill="1" applyBorder="1" applyAlignment="1">
      <alignment horizontal="center"/>
    </xf>
    <xf numFmtId="166" fontId="0" fillId="5" borderId="5" xfId="1" applyNumberFormat="1" applyFont="1" applyFill="1" applyBorder="1" applyAlignment="1">
      <alignment horizontal="center"/>
    </xf>
    <xf numFmtId="166" fontId="0" fillId="3" borderId="6" xfId="1" applyNumberFormat="1" applyFont="1" applyFill="1" applyBorder="1" applyAlignment="1">
      <alignment horizontal="center"/>
    </xf>
    <xf numFmtId="166" fontId="0" fillId="5" borderId="13" xfId="1" applyNumberFormat="1" applyFont="1" applyFill="1" applyBorder="1" applyAlignment="1">
      <alignment horizontal="center"/>
    </xf>
    <xf numFmtId="166" fontId="0" fillId="3" borderId="14" xfId="1" applyNumberFormat="1" applyFont="1" applyFill="1" applyBorder="1" applyAlignment="1">
      <alignment horizontal="center"/>
    </xf>
    <xf numFmtId="167" fontId="0" fillId="0" borderId="0" xfId="0" applyNumberFormat="1" applyBorder="1" applyAlignment="1"/>
    <xf numFmtId="2" fontId="0" fillId="0" borderId="0" xfId="0" applyNumberFormat="1"/>
    <xf numFmtId="0" fontId="1" fillId="8" borderId="42" xfId="0" applyFont="1" applyFill="1" applyBorder="1" applyAlignment="1">
      <alignment horizontal="center" vertical="center"/>
    </xf>
    <xf numFmtId="0" fontId="1" fillId="8" borderId="43" xfId="0" applyFont="1" applyFill="1" applyBorder="1" applyAlignment="1">
      <alignment horizontal="center" vertical="center"/>
    </xf>
    <xf numFmtId="2" fontId="0" fillId="12" borderId="15" xfId="0" applyNumberFormat="1" applyFill="1" applyBorder="1" applyAlignment="1"/>
    <xf numFmtId="2" fontId="0" fillId="12" borderId="17" xfId="0" applyNumberFormat="1" applyFill="1" applyBorder="1" applyAlignment="1"/>
    <xf numFmtId="166" fontId="0" fillId="21" borderId="0" xfId="1" applyNumberFormat="1" applyFont="1" applyFill="1" applyBorder="1" applyAlignment="1">
      <alignment horizontal="center"/>
    </xf>
    <xf numFmtId="166" fontId="0" fillId="21" borderId="6" xfId="1" applyNumberFormat="1" applyFont="1" applyFill="1" applyBorder="1" applyAlignment="1">
      <alignment horizontal="center"/>
    </xf>
    <xf numFmtId="166" fontId="0" fillId="21" borderId="63" xfId="1" applyNumberFormat="1" applyFont="1" applyFill="1" applyBorder="1" applyAlignment="1">
      <alignment horizontal="center"/>
    </xf>
    <xf numFmtId="166" fontId="0" fillId="21" borderId="64" xfId="1" applyNumberFormat="1" applyFont="1" applyFill="1" applyBorder="1" applyAlignment="1">
      <alignment horizontal="center"/>
    </xf>
    <xf numFmtId="166" fontId="0" fillId="21" borderId="54" xfId="1" applyNumberFormat="1" applyFont="1" applyFill="1" applyBorder="1" applyAlignment="1">
      <alignment horizontal="center"/>
    </xf>
    <xf numFmtId="166" fontId="0" fillId="21" borderId="18" xfId="1" applyNumberFormat="1" applyFont="1" applyFill="1" applyBorder="1" applyAlignment="1">
      <alignment horizontal="center"/>
    </xf>
    <xf numFmtId="166" fontId="0" fillId="21" borderId="23" xfId="1" applyNumberFormat="1" applyFont="1" applyFill="1" applyBorder="1" applyAlignment="1">
      <alignment horizontal="center"/>
    </xf>
    <xf numFmtId="166" fontId="0" fillId="21" borderId="19" xfId="1" applyNumberFormat="1" applyFont="1" applyFill="1" applyBorder="1" applyAlignment="1">
      <alignment horizontal="center"/>
    </xf>
    <xf numFmtId="2" fontId="0" fillId="14" borderId="39" xfId="0" applyNumberFormat="1" applyFill="1" applyBorder="1" applyAlignment="1">
      <alignment horizontal="center"/>
    </xf>
    <xf numFmtId="2" fontId="0" fillId="14" borderId="22" xfId="0" applyNumberFormat="1" applyFill="1" applyBorder="1" applyAlignment="1">
      <alignment horizontal="center"/>
    </xf>
    <xf numFmtId="2" fontId="0" fillId="14" borderId="41" xfId="0" applyNumberFormat="1" applyFill="1" applyBorder="1" applyAlignment="1">
      <alignment horizontal="center"/>
    </xf>
    <xf numFmtId="2" fontId="0" fillId="14" borderId="19" xfId="0" applyNumberFormat="1" applyFill="1" applyBorder="1" applyAlignment="1">
      <alignment horizontal="center"/>
    </xf>
    <xf numFmtId="2" fontId="0" fillId="0" borderId="21" xfId="0" applyNumberFormat="1" applyBorder="1"/>
    <xf numFmtId="0" fontId="6" fillId="0" borderId="0" xfId="0" applyFont="1" applyFill="1" applyBorder="1" applyAlignment="1">
      <alignment horizontal="center" vertical="center"/>
    </xf>
    <xf numFmtId="164" fontId="0" fillId="0" borderId="0" xfId="0" applyNumberFormat="1" applyFill="1" applyBorder="1"/>
    <xf numFmtId="2" fontId="0" fillId="0" borderId="0" xfId="0" applyNumberFormat="1" applyFill="1" applyBorder="1" applyAlignment="1"/>
    <xf numFmtId="0" fontId="0" fillId="14" borderId="44" xfId="0" applyFill="1" applyBorder="1" applyAlignment="1">
      <alignment horizontal="center"/>
    </xf>
    <xf numFmtId="2" fontId="0" fillId="14" borderId="3" xfId="0" applyNumberFormat="1" applyFill="1" applyBorder="1" applyAlignment="1">
      <alignment horizontal="center"/>
    </xf>
    <xf numFmtId="2" fontId="0" fillId="14" borderId="5" xfId="0" applyNumberFormat="1" applyFill="1" applyBorder="1" applyAlignment="1">
      <alignment horizontal="center"/>
    </xf>
    <xf numFmtId="2" fontId="0" fillId="14" borderId="13" xfId="0" applyNumberFormat="1" applyFill="1" applyBorder="1" applyAlignment="1">
      <alignment horizontal="center"/>
    </xf>
    <xf numFmtId="2" fontId="0" fillId="14" borderId="38" xfId="0" applyNumberFormat="1" applyFill="1" applyBorder="1" applyAlignment="1">
      <alignment horizontal="center"/>
    </xf>
    <xf numFmtId="0" fontId="0" fillId="22" borderId="36" xfId="0" applyFill="1" applyBorder="1" applyAlignment="1">
      <alignment horizontal="center"/>
    </xf>
    <xf numFmtId="2" fontId="0" fillId="22" borderId="27" xfId="0" applyNumberFormat="1" applyFill="1" applyBorder="1" applyAlignment="1">
      <alignment horizontal="center"/>
    </xf>
    <xf numFmtId="2" fontId="0" fillId="22" borderId="21" xfId="0" applyNumberFormat="1" applyFill="1" applyBorder="1" applyAlignment="1">
      <alignment horizontal="center"/>
    </xf>
    <xf numFmtId="2" fontId="0" fillId="22" borderId="36" xfId="0" applyNumberFormat="1" applyFill="1" applyBorder="1" applyAlignment="1">
      <alignment horizontal="center"/>
    </xf>
    <xf numFmtId="2" fontId="0" fillId="22" borderId="18" xfId="0" applyNumberFormat="1" applyFill="1" applyBorder="1" applyAlignment="1">
      <alignment horizontal="center"/>
    </xf>
    <xf numFmtId="0" fontId="0" fillId="22" borderId="45" xfId="0" applyFill="1" applyBorder="1" applyAlignment="1">
      <alignment horizontal="center"/>
    </xf>
    <xf numFmtId="2" fontId="0" fillId="22" borderId="4" xfId="0" applyNumberFormat="1" applyFill="1" applyBorder="1" applyAlignment="1">
      <alignment horizontal="center"/>
    </xf>
    <xf numFmtId="2" fontId="0" fillId="22" borderId="6" xfId="0" applyNumberFormat="1" applyFill="1" applyBorder="1" applyAlignment="1">
      <alignment horizontal="center"/>
    </xf>
    <xf numFmtId="2" fontId="0" fillId="22" borderId="14" xfId="0" applyNumberFormat="1" applyFill="1" applyBorder="1" applyAlignment="1">
      <alignment horizontal="center"/>
    </xf>
    <xf numFmtId="2" fontId="0" fillId="22" borderId="49" xfId="0" applyNumberFormat="1" applyFill="1" applyBorder="1" applyAlignment="1">
      <alignment horizontal="center"/>
    </xf>
    <xf numFmtId="166" fontId="1" fillId="12" borderId="0" xfId="1" applyNumberFormat="1" applyFont="1" applyFill="1" applyBorder="1"/>
    <xf numFmtId="2" fontId="0" fillId="0" borderId="1" xfId="0" applyNumberFormat="1" applyBorder="1"/>
    <xf numFmtId="2" fontId="0" fillId="0" borderId="9" xfId="0" applyNumberFormat="1" applyBorder="1"/>
    <xf numFmtId="166" fontId="1" fillId="0" borderId="2" xfId="1" applyNumberFormat="1" applyFont="1" applyBorder="1"/>
    <xf numFmtId="2" fontId="0" fillId="0" borderId="5" xfId="0" applyNumberFormat="1" applyBorder="1"/>
    <xf numFmtId="166" fontId="1" fillId="0" borderId="6" xfId="1" applyNumberFormat="1" applyFont="1" applyBorder="1"/>
    <xf numFmtId="2" fontId="0" fillId="0" borderId="3" xfId="0" applyNumberFormat="1" applyBorder="1"/>
    <xf numFmtId="2" fontId="0" fillId="0" borderId="7" xfId="0" applyNumberFormat="1" applyBorder="1"/>
    <xf numFmtId="166" fontId="1" fillId="12" borderId="4" xfId="1" applyNumberFormat="1" applyFont="1" applyFill="1" applyBorder="1"/>
    <xf numFmtId="0" fontId="0" fillId="2" borderId="21" xfId="0" applyFill="1" applyBorder="1" applyAlignment="1"/>
    <xf numFmtId="164" fontId="0" fillId="7" borderId="37" xfId="0" applyNumberFormat="1" applyFill="1" applyBorder="1" applyAlignment="1"/>
    <xf numFmtId="0" fontId="0" fillId="21" borderId="0" xfId="0" applyFill="1" applyBorder="1"/>
    <xf numFmtId="0" fontId="0" fillId="21" borderId="6" xfId="0" applyFill="1" applyBorder="1"/>
    <xf numFmtId="0" fontId="0" fillId="21" borderId="7" xfId="0" applyFill="1" applyBorder="1" applyAlignment="1"/>
    <xf numFmtId="0" fontId="0" fillId="21" borderId="4" xfId="0" applyFill="1" applyBorder="1"/>
    <xf numFmtId="2" fontId="0" fillId="22" borderId="0" xfId="0" applyNumberFormat="1" applyFill="1" applyBorder="1" applyAlignment="1">
      <alignment horizontal="center"/>
    </xf>
    <xf numFmtId="2" fontId="0" fillId="14" borderId="25" xfId="0" applyNumberFormat="1" applyFill="1" applyBorder="1" applyAlignment="1">
      <alignment horizontal="center"/>
    </xf>
    <xf numFmtId="2" fontId="0" fillId="14" borderId="65" xfId="0" applyNumberFormat="1" applyFill="1" applyBorder="1" applyAlignment="1">
      <alignment horizontal="center"/>
    </xf>
    <xf numFmtId="2" fontId="0" fillId="22" borderId="23" xfId="0" applyNumberFormat="1" applyFill="1" applyBorder="1" applyAlignment="1">
      <alignment horizontal="center"/>
    </xf>
    <xf numFmtId="165" fontId="19" fillId="0" borderId="0" xfId="0" applyNumberFormat="1" applyFont="1" applyFill="1" applyBorder="1" applyAlignment="1">
      <alignment horizontal="right"/>
    </xf>
    <xf numFmtId="165" fontId="19" fillId="0" borderId="0" xfId="1" applyNumberFormat="1" applyFont="1" applyFill="1" applyBorder="1" applyAlignment="1">
      <alignment horizontal="right"/>
    </xf>
    <xf numFmtId="2" fontId="0" fillId="22" borderId="48" xfId="0" applyNumberFormat="1" applyFill="1" applyBorder="1" applyAlignment="1">
      <alignment horizontal="center"/>
    </xf>
    <xf numFmtId="2" fontId="0" fillId="14" borderId="20" xfId="0" applyNumberFormat="1" applyFill="1" applyBorder="1" applyAlignment="1">
      <alignment horizontal="center" wrapText="1"/>
    </xf>
    <xf numFmtId="2" fontId="0" fillId="22" borderId="8" xfId="0" applyNumberFormat="1" applyFill="1" applyBorder="1" applyAlignment="1">
      <alignment horizontal="center"/>
    </xf>
    <xf numFmtId="2" fontId="0" fillId="22" borderId="36" xfId="0" applyNumberFormat="1" applyFill="1" applyBorder="1" applyAlignment="1">
      <alignment horizontal="center" wrapText="1"/>
    </xf>
    <xf numFmtId="2" fontId="0" fillId="22" borderId="8" xfId="0" applyNumberFormat="1" applyFill="1" applyBorder="1" applyAlignment="1">
      <alignment horizontal="center" wrapText="1"/>
    </xf>
    <xf numFmtId="2" fontId="0" fillId="14" borderId="41" xfId="0" applyNumberFormat="1" applyFill="1" applyBorder="1" applyAlignment="1">
      <alignment horizontal="center" wrapText="1"/>
    </xf>
    <xf numFmtId="166" fontId="0" fillId="6" borderId="58" xfId="1" applyNumberFormat="1" applyFont="1" applyFill="1" applyBorder="1" applyAlignment="1">
      <alignment horizontal="center"/>
    </xf>
    <xf numFmtId="2" fontId="0" fillId="22" borderId="56" xfId="0" applyNumberFormat="1" applyFill="1" applyBorder="1" applyAlignment="1">
      <alignment horizontal="center"/>
    </xf>
    <xf numFmtId="2" fontId="0" fillId="14" borderId="66" xfId="0" applyNumberFormat="1" applyFill="1" applyBorder="1" applyAlignment="1">
      <alignment horizontal="center"/>
    </xf>
    <xf numFmtId="2" fontId="0" fillId="22" borderId="58" xfId="0" applyNumberFormat="1" applyFill="1" applyBorder="1" applyAlignment="1">
      <alignment horizontal="center"/>
    </xf>
    <xf numFmtId="2" fontId="0" fillId="14" borderId="57" xfId="0" applyNumberFormat="1" applyFill="1" applyBorder="1" applyAlignment="1">
      <alignment horizontal="center"/>
    </xf>
    <xf numFmtId="2" fontId="0" fillId="14" borderId="20" xfId="0" applyNumberFormat="1" applyFill="1" applyBorder="1" applyAlignment="1">
      <alignment horizontal="center"/>
    </xf>
    <xf numFmtId="2" fontId="0" fillId="21" borderId="7" xfId="0" applyNumberFormat="1" applyFill="1" applyBorder="1" applyAlignment="1"/>
    <xf numFmtId="2" fontId="0" fillId="21" borderId="4" xfId="0" applyNumberFormat="1" applyFill="1" applyBorder="1"/>
    <xf numFmtId="0" fontId="0" fillId="21" borderId="2" xfId="0" applyFill="1" applyBorder="1"/>
    <xf numFmtId="0" fontId="0" fillId="21" borderId="9" xfId="0" applyFill="1" applyBorder="1"/>
    <xf numFmtId="167" fontId="0" fillId="12" borderId="15" xfId="0" applyNumberFormat="1" applyFill="1" applyBorder="1" applyAlignment="1"/>
    <xf numFmtId="167" fontId="0" fillId="12" borderId="17" xfId="0" applyNumberFormat="1" applyFill="1" applyBorder="1" applyAlignment="1"/>
    <xf numFmtId="2" fontId="0" fillId="2" borderId="12" xfId="0" applyNumberFormat="1" applyFill="1" applyBorder="1" applyAlignment="1"/>
    <xf numFmtId="2" fontId="0" fillId="7" borderId="4" xfId="0" applyNumberFormat="1" applyFill="1" applyBorder="1" applyAlignment="1"/>
    <xf numFmtId="2" fontId="0" fillId="2" borderId="22" xfId="0" applyNumberFormat="1" applyFill="1" applyBorder="1" applyAlignment="1"/>
    <xf numFmtId="2" fontId="0" fillId="7" borderId="6" xfId="0" applyNumberFormat="1" applyFill="1" applyBorder="1" applyAlignment="1"/>
    <xf numFmtId="2" fontId="0" fillId="2" borderId="41" xfId="0" applyNumberFormat="1" applyFill="1" applyBorder="1" applyAlignment="1"/>
    <xf numFmtId="2" fontId="0" fillId="7" borderId="35" xfId="0" applyNumberFormat="1" applyFill="1" applyBorder="1" applyAlignment="1"/>
    <xf numFmtId="2" fontId="0" fillId="2" borderId="28" xfId="0" applyNumberFormat="1" applyFill="1" applyBorder="1" applyAlignment="1"/>
    <xf numFmtId="2" fontId="0" fillId="2" borderId="17" xfId="0" applyNumberFormat="1" applyFill="1" applyBorder="1" applyAlignment="1"/>
    <xf numFmtId="2" fontId="0" fillId="0" borderId="0" xfId="1" applyNumberFormat="1" applyFont="1" applyBorder="1" applyAlignment="1"/>
    <xf numFmtId="2" fontId="0" fillId="0" borderId="9" xfId="0" applyNumberFormat="1" applyBorder="1" applyAlignment="1"/>
    <xf numFmtId="10" fontId="0" fillId="0" borderId="0" xfId="0" applyNumberFormat="1" applyBorder="1" applyAlignment="1"/>
    <xf numFmtId="0" fontId="0" fillId="0" borderId="5" xfId="0" applyFill="1" applyBorder="1"/>
    <xf numFmtId="0" fontId="0" fillId="0" borderId="6" xfId="0" applyFill="1" applyBorder="1"/>
    <xf numFmtId="0" fontId="0" fillId="23" borderId="0" xfId="0" applyFill="1" applyBorder="1" applyAlignment="1"/>
    <xf numFmtId="168" fontId="0" fillId="0" borderId="0" xfId="0" applyNumberFormat="1" applyBorder="1" applyAlignment="1"/>
    <xf numFmtId="169" fontId="0" fillId="0" borderId="0" xfId="0" applyNumberFormat="1" applyBorder="1" applyAlignment="1"/>
    <xf numFmtId="172" fontId="0" fillId="0" borderId="0" xfId="0" applyNumberFormat="1" applyBorder="1" applyAlignment="1"/>
    <xf numFmtId="173" fontId="0" fillId="0" borderId="0" xfId="0" applyNumberFormat="1" applyBorder="1" applyAlignment="1"/>
    <xf numFmtId="167" fontId="0" fillId="0" borderId="0" xfId="0" applyNumberFormat="1" applyFill="1" applyBorder="1" applyAlignment="1"/>
    <xf numFmtId="166" fontId="0" fillId="21" borderId="30" xfId="1" applyNumberFormat="1" applyFont="1" applyFill="1" applyBorder="1"/>
    <xf numFmtId="166" fontId="0" fillId="21" borderId="31" xfId="1" applyNumberFormat="1" applyFont="1" applyFill="1" applyBorder="1" applyAlignment="1"/>
    <xf numFmtId="9" fontId="0" fillId="21" borderId="18" xfId="1" applyNumberFormat="1" applyFont="1" applyFill="1" applyBorder="1" applyAlignment="1">
      <alignment horizontal="center"/>
    </xf>
    <xf numFmtId="9" fontId="0" fillId="21" borderId="23" xfId="1" applyNumberFormat="1" applyFont="1" applyFill="1" applyBorder="1" applyAlignment="1">
      <alignment horizontal="center"/>
    </xf>
    <xf numFmtId="9" fontId="0" fillId="21" borderId="19" xfId="1" applyNumberFormat="1" applyFont="1" applyFill="1" applyBorder="1" applyAlignment="1">
      <alignment horizontal="center"/>
    </xf>
    <xf numFmtId="9" fontId="0" fillId="21" borderId="27" xfId="1" applyNumberFormat="1" applyFont="1" applyFill="1" applyBorder="1" applyAlignment="1"/>
    <xf numFmtId="9" fontId="0" fillId="21" borderId="7" xfId="1" applyNumberFormat="1" applyFont="1" applyFill="1" applyBorder="1" applyAlignment="1"/>
    <xf numFmtId="0" fontId="0" fillId="0" borderId="0" xfId="0" applyBorder="1" applyAlignment="1">
      <alignment horizontal="center" wrapText="1"/>
    </xf>
    <xf numFmtId="0" fontId="0" fillId="0" borderId="0" xfId="0" applyAlignment="1">
      <alignment horizontal="center" wrapText="1"/>
    </xf>
    <xf numFmtId="0" fontId="0" fillId="0" borderId="23" xfId="0" applyBorder="1" applyAlignment="1">
      <alignment horizontal="center"/>
    </xf>
    <xf numFmtId="0" fontId="0" fillId="0" borderId="19" xfId="0" applyBorder="1" applyAlignment="1">
      <alignment horizontal="center"/>
    </xf>
    <xf numFmtId="0" fontId="21" fillId="0" borderId="0" xfId="0" applyFont="1" applyBorder="1"/>
    <xf numFmtId="0" fontId="0" fillId="8" borderId="10" xfId="0" applyFill="1" applyBorder="1" applyAlignment="1">
      <alignment horizontal="left" vertical="center"/>
    </xf>
    <xf numFmtId="0" fontId="0" fillId="8" borderId="11" xfId="0" applyFill="1" applyBorder="1" applyAlignment="1">
      <alignment horizontal="left" vertical="center"/>
    </xf>
    <xf numFmtId="0" fontId="0" fillId="8" borderId="29" xfId="0" applyFill="1" applyBorder="1" applyAlignment="1">
      <alignment horizontal="left" vertical="center"/>
    </xf>
    <xf numFmtId="0" fontId="0" fillId="0" borderId="47" xfId="0" applyBorder="1" applyAlignment="1">
      <alignment horizontal="left" vertical="center"/>
    </xf>
    <xf numFmtId="0" fontId="0" fillId="0" borderId="11" xfId="0" applyBorder="1" applyAlignment="1">
      <alignment horizontal="left" vertical="center"/>
    </xf>
    <xf numFmtId="0" fontId="0" fillId="0" borderId="29" xfId="0" applyBorder="1" applyAlignment="1">
      <alignment horizontal="left" vertical="center"/>
    </xf>
    <xf numFmtId="0" fontId="0" fillId="0" borderId="12" xfId="0" applyBorder="1" applyAlignment="1">
      <alignment horizontal="left" vertical="center"/>
    </xf>
    <xf numFmtId="9" fontId="0" fillId="20" borderId="20" xfId="1" applyNumberFormat="1" applyFont="1" applyFill="1" applyBorder="1" applyAlignment="1">
      <alignment horizontal="center"/>
    </xf>
    <xf numFmtId="9" fontId="0" fillId="15" borderId="14" xfId="1" applyNumberFormat="1" applyFont="1" applyFill="1" applyBorder="1" applyAlignment="1">
      <alignment horizontal="center"/>
    </xf>
    <xf numFmtId="9" fontId="0" fillId="15" borderId="20" xfId="1" applyNumberFormat="1" applyFont="1" applyFill="1" applyBorder="1" applyAlignment="1">
      <alignment horizontal="center"/>
    </xf>
    <xf numFmtId="9" fontId="0" fillId="17" borderId="41" xfId="1" applyNumberFormat="1" applyFont="1" applyFill="1" applyBorder="1" applyAlignment="1">
      <alignment horizontal="center"/>
    </xf>
    <xf numFmtId="166" fontId="0" fillId="20" borderId="26" xfId="1" applyNumberFormat="1" applyFont="1" applyFill="1" applyBorder="1" applyAlignment="1">
      <alignment horizontal="center"/>
    </xf>
    <xf numFmtId="166" fontId="0" fillId="15" borderId="4" xfId="1" applyNumberFormat="1" applyFont="1" applyFill="1" applyBorder="1" applyAlignment="1">
      <alignment horizontal="center"/>
    </xf>
    <xf numFmtId="166" fontId="0" fillId="15" borderId="26" xfId="1" applyNumberFormat="1" applyFont="1" applyFill="1" applyBorder="1" applyAlignment="1">
      <alignment horizontal="center"/>
    </xf>
    <xf numFmtId="166" fontId="0" fillId="17" borderId="39" xfId="1" applyNumberFormat="1" applyFont="1" applyFill="1" applyBorder="1" applyAlignment="1">
      <alignment horizontal="center"/>
    </xf>
    <xf numFmtId="165" fontId="0" fillId="2" borderId="12" xfId="0" applyNumberFormat="1" applyFill="1" applyBorder="1" applyAlignment="1"/>
    <xf numFmtId="9" fontId="0" fillId="20" borderId="25" xfId="1" applyNumberFormat="1" applyFont="1" applyFill="1" applyBorder="1" applyAlignment="1">
      <alignment horizontal="center"/>
    </xf>
    <xf numFmtId="166" fontId="0" fillId="15" borderId="6" xfId="1" applyNumberFormat="1" applyFont="1" applyFill="1" applyBorder="1" applyAlignment="1">
      <alignment horizontal="center"/>
    </xf>
    <xf numFmtId="166" fontId="0" fillId="15" borderId="25" xfId="1" applyNumberFormat="1" applyFont="1" applyFill="1" applyBorder="1" applyAlignment="1">
      <alignment horizontal="center"/>
    </xf>
    <xf numFmtId="166" fontId="0" fillId="17" borderId="22" xfId="1" applyNumberFormat="1" applyFont="1" applyFill="1" applyBorder="1" applyAlignment="1">
      <alignment horizontal="center"/>
    </xf>
    <xf numFmtId="165" fontId="0" fillId="2" borderId="22" xfId="0" applyNumberFormat="1" applyFill="1" applyBorder="1" applyAlignment="1"/>
    <xf numFmtId="1" fontId="0" fillId="5" borderId="21" xfId="0" applyNumberFormat="1" applyFill="1" applyBorder="1" applyAlignment="1">
      <alignment horizontal="center"/>
    </xf>
    <xf numFmtId="9" fontId="0" fillId="15" borderId="6" xfId="1" applyNumberFormat="1" applyFont="1" applyFill="1" applyBorder="1" applyAlignment="1">
      <alignment horizontal="center"/>
    </xf>
    <xf numFmtId="9" fontId="0" fillId="15" borderId="25" xfId="1" applyNumberFormat="1" applyFont="1" applyFill="1" applyBorder="1" applyAlignment="1">
      <alignment horizontal="center"/>
    </xf>
    <xf numFmtId="9" fontId="0" fillId="17" borderId="22" xfId="1" applyNumberFormat="1" applyFont="1" applyFill="1" applyBorder="1" applyAlignment="1">
      <alignment horizontal="center"/>
    </xf>
    <xf numFmtId="2" fontId="0" fillId="0" borderId="6" xfId="0" applyNumberFormat="1" applyBorder="1"/>
    <xf numFmtId="1" fontId="0" fillId="4" borderId="0" xfId="0" applyNumberFormat="1" applyFill="1" applyBorder="1" applyAlignment="1">
      <alignment horizontal="center"/>
    </xf>
    <xf numFmtId="1" fontId="0" fillId="3" borderId="0" xfId="0" applyNumberFormat="1" applyFill="1" applyBorder="1" applyAlignment="1">
      <alignment horizontal="center"/>
    </xf>
    <xf numFmtId="1" fontId="0" fillId="6" borderId="6" xfId="0" applyNumberFormat="1" applyFill="1" applyBorder="1" applyAlignment="1">
      <alignment horizontal="center"/>
    </xf>
    <xf numFmtId="0" fontId="0" fillId="0" borderId="6" xfId="0" applyFill="1" applyBorder="1" applyAlignment="1"/>
    <xf numFmtId="165" fontId="0" fillId="2" borderId="41" xfId="0" applyNumberFormat="1" applyFill="1" applyBorder="1" applyAlignment="1"/>
    <xf numFmtId="9" fontId="0" fillId="20" borderId="65" xfId="1" applyNumberFormat="1" applyFont="1" applyFill="1" applyBorder="1" applyAlignment="1">
      <alignment horizontal="center"/>
    </xf>
    <xf numFmtId="0" fontId="0" fillId="15" borderId="49" xfId="1" applyNumberFormat="1" applyFont="1" applyFill="1" applyBorder="1" applyAlignment="1">
      <alignment horizontal="center"/>
    </xf>
    <xf numFmtId="9" fontId="0" fillId="15" borderId="65" xfId="1" applyNumberFormat="1" applyFont="1" applyFill="1" applyBorder="1" applyAlignment="1">
      <alignment horizontal="center"/>
    </xf>
    <xf numFmtId="9" fontId="0" fillId="17" borderId="19" xfId="1" applyNumberFormat="1" applyFont="1" applyFill="1" applyBorder="1" applyAlignment="1">
      <alignment horizontal="center"/>
    </xf>
    <xf numFmtId="0" fontId="1" fillId="0" borderId="0" xfId="0" applyFont="1" applyBorder="1" applyAlignment="1"/>
    <xf numFmtId="0" fontId="21" fillId="0" borderId="11" xfId="0" applyFont="1" applyBorder="1"/>
    <xf numFmtId="0" fontId="1" fillId="0" borderId="11" xfId="0" applyFont="1" applyBorder="1" applyAlignment="1"/>
    <xf numFmtId="10" fontId="0" fillId="0" borderId="11" xfId="0" applyNumberFormat="1" applyFill="1" applyBorder="1" applyAlignment="1"/>
    <xf numFmtId="10" fontId="0" fillId="0" borderId="11" xfId="0" applyNumberFormat="1" applyFill="1" applyBorder="1"/>
    <xf numFmtId="0" fontId="0" fillId="0" borderId="11" xfId="0" applyFill="1" applyBorder="1"/>
    <xf numFmtId="0" fontId="0" fillId="0" borderId="12" xfId="0" applyFill="1" applyBorder="1"/>
    <xf numFmtId="0" fontId="0" fillId="0" borderId="22" xfId="0" applyFill="1" applyBorder="1"/>
    <xf numFmtId="10" fontId="0" fillId="0" borderId="0" xfId="0" applyNumberFormat="1" applyBorder="1"/>
    <xf numFmtId="0" fontId="1" fillId="0" borderId="0" xfId="0" applyFont="1" applyFill="1" applyBorder="1" applyAlignment="1">
      <alignment horizontal="left" vertical="center"/>
    </xf>
    <xf numFmtId="0" fontId="1" fillId="0" borderId="22" xfId="0" applyFont="1" applyFill="1" applyBorder="1" applyAlignment="1">
      <alignment horizontal="left" vertical="center"/>
    </xf>
    <xf numFmtId="0" fontId="0" fillId="18" borderId="0" xfId="0" applyFill="1" applyBorder="1" applyAlignment="1">
      <alignment horizontal="left" vertical="center"/>
    </xf>
    <xf numFmtId="10" fontId="0" fillId="5" borderId="0" xfId="1" applyNumberFormat="1" applyFont="1" applyFill="1" applyBorder="1" applyAlignment="1"/>
    <xf numFmtId="10" fontId="0" fillId="4" borderId="0" xfId="1" applyNumberFormat="1" applyFont="1" applyFill="1" applyBorder="1" applyAlignment="1"/>
    <xf numFmtId="166" fontId="0" fillId="20" borderId="0" xfId="1" applyNumberFormat="1" applyFont="1" applyFill="1" applyBorder="1"/>
    <xf numFmtId="0" fontId="1" fillId="0" borderId="0" xfId="0" applyFont="1" applyBorder="1"/>
    <xf numFmtId="10" fontId="0" fillId="3" borderId="0" xfId="1" applyNumberFormat="1" applyFont="1" applyFill="1" applyBorder="1" applyAlignment="1"/>
    <xf numFmtId="10" fontId="0" fillId="6" borderId="0" xfId="1" applyNumberFormat="1" applyFont="1" applyFill="1" applyBorder="1" applyAlignment="1"/>
    <xf numFmtId="166" fontId="0" fillId="0" borderId="0" xfId="1" applyNumberFormat="1" applyFont="1" applyFill="1" applyBorder="1"/>
    <xf numFmtId="174" fontId="0" fillId="0" borderId="0" xfId="0" applyNumberFormat="1" applyBorder="1"/>
    <xf numFmtId="164" fontId="0" fillId="0" borderId="0" xfId="0" applyNumberFormat="1" applyFill="1" applyBorder="1" applyAlignment="1">
      <alignment horizontal="center"/>
    </xf>
    <xf numFmtId="164" fontId="0" fillId="0" borderId="22" xfId="0" applyNumberFormat="1" applyFill="1" applyBorder="1" applyAlignment="1">
      <alignment horizontal="center"/>
    </xf>
    <xf numFmtId="0" fontId="0" fillId="0" borderId="0" xfId="0" applyFill="1" applyBorder="1" applyAlignment="1">
      <alignment horizontal="center" wrapText="1"/>
    </xf>
    <xf numFmtId="164" fontId="16" fillId="0" borderId="0" xfId="0" applyNumberFormat="1" applyFont="1" applyFill="1" applyBorder="1" applyAlignment="1">
      <alignment horizontal="center"/>
    </xf>
    <xf numFmtId="164" fontId="16" fillId="0" borderId="22" xfId="0" applyNumberFormat="1" applyFont="1" applyFill="1" applyBorder="1" applyAlignment="1">
      <alignment horizontal="center"/>
    </xf>
    <xf numFmtId="0" fontId="0" fillId="18" borderId="0" xfId="0" applyFill="1" applyBorder="1" applyAlignment="1">
      <alignment horizontal="left"/>
    </xf>
    <xf numFmtId="167" fontId="0" fillId="24" borderId="0" xfId="0" applyNumberFormat="1" applyFill="1" applyBorder="1" applyAlignment="1">
      <alignment horizontal="center"/>
    </xf>
    <xf numFmtId="0" fontId="0" fillId="3" borderId="10" xfId="0" applyFill="1" applyBorder="1" applyAlignment="1"/>
    <xf numFmtId="0" fontId="0" fillId="3" borderId="21" xfId="0" applyFill="1" applyBorder="1" applyAlignment="1"/>
    <xf numFmtId="0" fontId="0" fillId="3" borderId="18" xfId="0" applyFill="1" applyBorder="1" applyAlignment="1"/>
    <xf numFmtId="164" fontId="0" fillId="0" borderId="10" xfId="0" applyNumberFormat="1" applyBorder="1" applyAlignment="1">
      <alignment horizontal="center"/>
    </xf>
    <xf numFmtId="164" fontId="0" fillId="0" borderId="11" xfId="0" applyNumberFormat="1" applyBorder="1" applyAlignment="1">
      <alignment horizontal="center"/>
    </xf>
    <xf numFmtId="164" fontId="0" fillId="0" borderId="12"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166" fontId="0" fillId="0" borderId="21" xfId="1" applyNumberFormat="1" applyFont="1" applyBorder="1" applyAlignment="1">
      <alignment horizontal="center"/>
    </xf>
    <xf numFmtId="166" fontId="0" fillId="0" borderId="22" xfId="1" applyNumberFormat="1" applyFont="1" applyBorder="1" applyAlignment="1">
      <alignment horizontal="center"/>
    </xf>
    <xf numFmtId="166" fontId="0" fillId="0" borderId="18" xfId="1" applyNumberFormat="1" applyFont="1" applyBorder="1" applyAlignment="1">
      <alignment horizontal="center"/>
    </xf>
    <xf numFmtId="166" fontId="0" fillId="0" borderId="23" xfId="1" applyNumberFormat="1" applyFont="1" applyBorder="1" applyAlignment="1">
      <alignment horizontal="center"/>
    </xf>
    <xf numFmtId="166" fontId="0" fillId="0" borderId="19" xfId="1" applyNumberFormat="1" applyFont="1" applyBorder="1" applyAlignment="1">
      <alignment horizontal="center"/>
    </xf>
    <xf numFmtId="166" fontId="0" fillId="21" borderId="10" xfId="0" applyNumberFormat="1" applyFill="1" applyBorder="1" applyAlignment="1"/>
    <xf numFmtId="166" fontId="0" fillId="21" borderId="12" xfId="0" applyNumberFormat="1" applyFill="1" applyBorder="1" applyAlignment="1"/>
    <xf numFmtId="166" fontId="0" fillId="0" borderId="18" xfId="0" applyNumberFormat="1" applyBorder="1" applyAlignment="1"/>
    <xf numFmtId="166" fontId="0" fillId="0" borderId="19" xfId="0" applyNumberFormat="1" applyBorder="1" applyAlignment="1"/>
    <xf numFmtId="10" fontId="0" fillId="0" borderId="22" xfId="0" applyNumberFormat="1" applyFill="1" applyBorder="1"/>
    <xf numFmtId="166" fontId="0" fillId="22" borderId="0" xfId="1" applyNumberFormat="1" applyFont="1" applyFill="1" applyBorder="1" applyAlignment="1"/>
    <xf numFmtId="166" fontId="0" fillId="0" borderId="0" xfId="0" applyNumberFormat="1" applyFill="1" applyBorder="1" applyAlignment="1"/>
    <xf numFmtId="0" fontId="0" fillId="0" borderId="0" xfId="0" applyFill="1" applyBorder="1" applyAlignment="1">
      <alignment horizontal="left"/>
    </xf>
    <xf numFmtId="0" fontId="0" fillId="0" borderId="21" xfId="0" applyBorder="1" applyAlignment="1"/>
    <xf numFmtId="166" fontId="20" fillId="25" borderId="0" xfId="0" applyNumberFormat="1" applyFont="1" applyFill="1" applyBorder="1" applyAlignment="1"/>
    <xf numFmtId="0" fontId="0" fillId="0" borderId="22" xfId="0" applyFill="1" applyBorder="1" applyAlignment="1"/>
    <xf numFmtId="0" fontId="0" fillId="12" borderId="0" xfId="0" applyFill="1" applyBorder="1" applyAlignment="1">
      <alignment horizontal="left" vertical="center"/>
    </xf>
    <xf numFmtId="10" fontId="0" fillId="26" borderId="0" xfId="0" applyNumberFormat="1" applyFill="1" applyBorder="1"/>
    <xf numFmtId="174" fontId="0" fillId="0" borderId="0" xfId="0" applyNumberFormat="1" applyFill="1" applyBorder="1"/>
    <xf numFmtId="0" fontId="0" fillId="12" borderId="0" xfId="0" applyFill="1" applyBorder="1" applyAlignment="1">
      <alignment horizontal="left"/>
    </xf>
    <xf numFmtId="0" fontId="0" fillId="20" borderId="15" xfId="0" applyFill="1" applyBorder="1" applyAlignment="1">
      <alignment horizontal="center"/>
    </xf>
    <xf numFmtId="0" fontId="0" fillId="20" borderId="17" xfId="0" applyFill="1" applyBorder="1" applyAlignment="1">
      <alignment horizontal="center"/>
    </xf>
    <xf numFmtId="0" fontId="0" fillId="0" borderId="5" xfId="0" applyFill="1" applyBorder="1" applyAlignment="1"/>
    <xf numFmtId="0" fontId="0" fillId="0" borderId="3" xfId="0" applyFill="1" applyBorder="1" applyAlignment="1"/>
    <xf numFmtId="0" fontId="0" fillId="20" borderId="28" xfId="0" applyFill="1" applyBorder="1" applyAlignment="1">
      <alignment horizontal="center"/>
    </xf>
    <xf numFmtId="0" fontId="1" fillId="17" borderId="44" xfId="0" applyFont="1" applyFill="1" applyBorder="1"/>
    <xf numFmtId="0" fontId="1" fillId="17" borderId="46" xfId="0" applyFont="1" applyFill="1" applyBorder="1"/>
    <xf numFmtId="0" fontId="1" fillId="17" borderId="45" xfId="0" applyFont="1" applyFill="1" applyBorder="1"/>
    <xf numFmtId="0" fontId="1" fillId="17" borderId="42" xfId="0" applyFont="1" applyFill="1" applyBorder="1"/>
    <xf numFmtId="0" fontId="1" fillId="17" borderId="55" xfId="0" applyFont="1" applyFill="1" applyBorder="1"/>
    <xf numFmtId="0" fontId="1" fillId="17" borderId="32" xfId="0" applyFont="1" applyFill="1" applyBorder="1"/>
    <xf numFmtId="0" fontId="1" fillId="0" borderId="0" xfId="0" applyFont="1" applyFill="1" applyBorder="1"/>
    <xf numFmtId="2" fontId="0" fillId="0" borderId="5" xfId="0" applyNumberFormat="1" applyBorder="1" applyAlignment="1">
      <alignment horizontal="center"/>
    </xf>
    <xf numFmtId="2" fontId="0" fillId="0" borderId="0" xfId="0" applyNumberFormat="1" applyBorder="1" applyAlignment="1">
      <alignment horizontal="center"/>
    </xf>
    <xf numFmtId="2" fontId="0" fillId="0" borderId="6" xfId="0" applyNumberFormat="1" applyBorder="1" applyAlignment="1">
      <alignment horizontal="center"/>
    </xf>
    <xf numFmtId="2" fontId="0" fillId="0" borderId="16" xfId="0" applyNumberFormat="1" applyBorder="1" applyAlignment="1">
      <alignment horizontal="center"/>
    </xf>
    <xf numFmtId="1" fontId="0" fillId="0" borderId="0" xfId="0" applyNumberFormat="1"/>
    <xf numFmtId="2" fontId="0" fillId="0" borderId="67" xfId="0" applyNumberFormat="1" applyBorder="1" applyAlignment="1">
      <alignment horizontal="center"/>
    </xf>
    <xf numFmtId="2" fontId="0" fillId="26" borderId="5" xfId="0" applyNumberFormat="1" applyFill="1" applyBorder="1" applyAlignment="1">
      <alignment horizontal="center"/>
    </xf>
    <xf numFmtId="2" fontId="0" fillId="27" borderId="28" xfId="0" applyNumberFormat="1" applyFill="1" applyBorder="1" applyAlignment="1">
      <alignment horizontal="center"/>
    </xf>
    <xf numFmtId="2" fontId="0" fillId="0" borderId="16" xfId="0" applyNumberFormat="1" applyFill="1" applyBorder="1" applyAlignment="1">
      <alignment horizontal="center"/>
    </xf>
    <xf numFmtId="2" fontId="0" fillId="0" borderId="6" xfId="0" applyNumberFormat="1" applyFill="1" applyBorder="1" applyAlignment="1">
      <alignment horizontal="center"/>
    </xf>
    <xf numFmtId="2" fontId="0" fillId="0" borderId="67" xfId="0" applyNumberFormat="1" applyFill="1" applyBorder="1" applyAlignment="1">
      <alignment horizontal="center"/>
    </xf>
    <xf numFmtId="2" fontId="0" fillId="26" borderId="0" xfId="0" applyNumberFormat="1" applyFill="1" applyBorder="1" applyAlignment="1">
      <alignment horizontal="center"/>
    </xf>
    <xf numFmtId="2" fontId="0" fillId="0" borderId="7" xfId="0" applyNumberFormat="1" applyBorder="1" applyAlignment="1">
      <alignment horizontal="center"/>
    </xf>
    <xf numFmtId="2" fontId="0" fillId="0" borderId="4" xfId="0" applyNumberFormat="1" applyBorder="1" applyAlignment="1">
      <alignment horizontal="center"/>
    </xf>
    <xf numFmtId="1" fontId="0" fillId="0" borderId="7" xfId="0" applyNumberFormat="1" applyBorder="1"/>
    <xf numFmtId="0" fontId="0" fillId="0" borderId="7" xfId="0" applyBorder="1" applyAlignment="1">
      <alignment horizontal="right"/>
    </xf>
    <xf numFmtId="2" fontId="0" fillId="2" borderId="1" xfId="0" applyNumberFormat="1" applyFill="1" applyBorder="1" applyAlignment="1">
      <alignment horizontal="center"/>
    </xf>
    <xf numFmtId="2" fontId="0" fillId="2" borderId="0" xfId="0" applyNumberFormat="1" applyFill="1" applyBorder="1" applyAlignment="1">
      <alignment horizontal="center"/>
    </xf>
    <xf numFmtId="2" fontId="0" fillId="2" borderId="6" xfId="0" applyNumberFormat="1" applyFill="1" applyBorder="1" applyAlignment="1">
      <alignment horizontal="center"/>
    </xf>
    <xf numFmtId="1" fontId="0" fillId="0" borderId="0" xfId="0" applyNumberFormat="1" applyBorder="1"/>
    <xf numFmtId="2" fontId="0" fillId="26" borderId="3" xfId="0" applyNumberFormat="1" applyFill="1" applyBorder="1" applyAlignment="1">
      <alignment horizontal="center"/>
    </xf>
    <xf numFmtId="2" fontId="0" fillId="0" borderId="68" xfId="0" applyNumberFormat="1" applyBorder="1" applyAlignment="1">
      <alignment horizontal="center"/>
    </xf>
    <xf numFmtId="2" fontId="0" fillId="2" borderId="9" xfId="0" applyNumberFormat="1" applyFill="1" applyBorder="1" applyAlignment="1">
      <alignment horizontal="center"/>
    </xf>
    <xf numFmtId="2" fontId="0" fillId="2" borderId="2" xfId="0" applyNumberFormat="1" applyFill="1" applyBorder="1" applyAlignment="1">
      <alignment horizontal="center"/>
    </xf>
    <xf numFmtId="2" fontId="0" fillId="0" borderId="69" xfId="0" applyNumberFormat="1" applyBorder="1" applyAlignment="1">
      <alignment horizontal="center"/>
    </xf>
    <xf numFmtId="1" fontId="0" fillId="0" borderId="9" xfId="0" applyNumberFormat="1" applyBorder="1"/>
    <xf numFmtId="0" fontId="0" fillId="0" borderId="9" xfId="0" applyBorder="1" applyAlignment="1">
      <alignment horizontal="right"/>
    </xf>
    <xf numFmtId="2" fontId="0" fillId="5" borderId="53" xfId="0" applyNumberFormat="1" applyFill="1" applyBorder="1" applyAlignment="1">
      <alignment horizontal="center"/>
    </xf>
    <xf numFmtId="2" fontId="0" fillId="4" borderId="9" xfId="0" applyNumberFormat="1" applyFill="1" applyBorder="1" applyAlignment="1">
      <alignment horizontal="center"/>
    </xf>
    <xf numFmtId="2" fontId="0" fillId="3" borderId="9" xfId="0" applyNumberFormat="1" applyFill="1" applyBorder="1" applyAlignment="1">
      <alignment horizontal="center"/>
    </xf>
    <xf numFmtId="2" fontId="0" fillId="6" borderId="70" xfId="0" applyNumberFormat="1" applyFill="1" applyBorder="1" applyAlignment="1">
      <alignment horizontal="center"/>
    </xf>
    <xf numFmtId="2" fontId="0" fillId="0" borderId="39" xfId="0" applyNumberFormat="1" applyBorder="1" applyAlignment="1">
      <alignment horizontal="center"/>
    </xf>
    <xf numFmtId="2" fontId="0" fillId="27" borderId="71" xfId="0" applyNumberFormat="1" applyFill="1" applyBorder="1" applyAlignment="1">
      <alignment horizontal="center"/>
    </xf>
    <xf numFmtId="0" fontId="0" fillId="0" borderId="39" xfId="0" applyBorder="1" applyAlignment="1">
      <alignment horizontal="right"/>
    </xf>
    <xf numFmtId="2" fontId="0" fillId="0" borderId="7" xfId="0" applyNumberFormat="1" applyFill="1" applyBorder="1" applyAlignment="1">
      <alignment horizontal="center"/>
    </xf>
    <xf numFmtId="2" fontId="0" fillId="12" borderId="7" xfId="0" applyNumberFormat="1" applyFill="1" applyBorder="1" applyAlignment="1"/>
    <xf numFmtId="166" fontId="0" fillId="0" borderId="72" xfId="0" applyNumberFormat="1" applyBorder="1"/>
    <xf numFmtId="166" fontId="0" fillId="0" borderId="61" xfId="0" applyNumberFormat="1" applyBorder="1"/>
    <xf numFmtId="166" fontId="0" fillId="0" borderId="73" xfId="0" applyNumberFormat="1" applyBorder="1"/>
    <xf numFmtId="166" fontId="0" fillId="0" borderId="21" xfId="0" applyNumberFormat="1" applyBorder="1"/>
    <xf numFmtId="166" fontId="0" fillId="0" borderId="22" xfId="0" applyNumberFormat="1" applyBorder="1"/>
    <xf numFmtId="166" fontId="0" fillId="0" borderId="74" xfId="0" applyNumberFormat="1" applyBorder="1"/>
    <xf numFmtId="166" fontId="0" fillId="0" borderId="64" xfId="0" applyNumberFormat="1" applyBorder="1"/>
    <xf numFmtId="166" fontId="0" fillId="0" borderId="75" xfId="0" applyNumberFormat="1" applyBorder="1"/>
    <xf numFmtId="166" fontId="0" fillId="0" borderId="27" xfId="0" applyNumberFormat="1" applyBorder="1"/>
    <xf numFmtId="166" fontId="0" fillId="0" borderId="7" xfId="0" applyNumberFormat="1" applyBorder="1"/>
    <xf numFmtId="166" fontId="0" fillId="0" borderId="39" xfId="0" applyNumberFormat="1" applyBorder="1"/>
    <xf numFmtId="166" fontId="0" fillId="0" borderId="18" xfId="0" applyNumberFormat="1" applyBorder="1"/>
    <xf numFmtId="166" fontId="0" fillId="0" borderId="23" xfId="0" applyNumberFormat="1" applyBorder="1"/>
    <xf numFmtId="166" fontId="0" fillId="0" borderId="19" xfId="0" applyNumberFormat="1" applyBorder="1"/>
    <xf numFmtId="2" fontId="0" fillId="0" borderId="6" xfId="0" applyNumberFormat="1" applyBorder="1" applyAlignment="1"/>
    <xf numFmtId="2" fontId="0" fillId="24" borderId="0" xfId="0" applyNumberFormat="1" applyFill="1" applyBorder="1" applyAlignment="1">
      <alignment horizontal="center"/>
    </xf>
    <xf numFmtId="167" fontId="0" fillId="0" borderId="0" xfId="0" applyNumberFormat="1" applyFill="1" applyBorder="1" applyAlignment="1">
      <alignment horizontal="center"/>
    </xf>
    <xf numFmtId="167" fontId="0" fillId="0" borderId="0" xfId="0" applyNumberFormat="1" applyFill="1" applyBorder="1" applyAlignment="1">
      <alignment horizontal="left"/>
    </xf>
    <xf numFmtId="164" fontId="0" fillId="0" borderId="0" xfId="0" applyNumberFormat="1"/>
    <xf numFmtId="9" fontId="0" fillId="0" borderId="0" xfId="1" applyNumberFormat="1" applyFont="1"/>
    <xf numFmtId="2" fontId="0" fillId="0" borderId="0" xfId="0" applyNumberFormat="1" applyAlignment="1">
      <alignment horizontal="center"/>
    </xf>
    <xf numFmtId="9" fontId="0" fillId="0" borderId="0" xfId="0" applyNumberFormat="1" applyAlignment="1">
      <alignment horizontal="center"/>
    </xf>
    <xf numFmtId="9" fontId="0" fillId="0" borderId="0" xfId="0" applyNumberFormat="1" applyFill="1" applyBorder="1" applyAlignment="1">
      <alignment horizontal="center"/>
    </xf>
    <xf numFmtId="0" fontId="0" fillId="0" borderId="42" xfId="0" applyBorder="1" applyAlignment="1">
      <alignment horizontal="center" wrapText="1"/>
    </xf>
    <xf numFmtId="0" fontId="0" fillId="0" borderId="43" xfId="0" applyBorder="1" applyAlignment="1">
      <alignment horizontal="center" wrapText="1"/>
    </xf>
    <xf numFmtId="167" fontId="0" fillId="15" borderId="71" xfId="0" applyNumberFormat="1" applyFill="1" applyBorder="1" applyAlignment="1">
      <alignment horizontal="center"/>
    </xf>
    <xf numFmtId="167" fontId="0" fillId="5" borderId="22" xfId="0" applyNumberFormat="1" applyFill="1" applyBorder="1" applyAlignment="1">
      <alignment horizontal="center"/>
    </xf>
    <xf numFmtId="167" fontId="0" fillId="15" borderId="68" xfId="0" applyNumberFormat="1" applyFill="1" applyBorder="1" applyAlignment="1">
      <alignment horizontal="center"/>
    </xf>
    <xf numFmtId="167" fontId="0" fillId="15" borderId="76" xfId="0" applyNumberFormat="1" applyFill="1" applyBorder="1" applyAlignment="1">
      <alignment horizontal="center"/>
    </xf>
    <xf numFmtId="167" fontId="0" fillId="5" borderId="19" xfId="0" applyNumberFormat="1" applyFill="1" applyBorder="1" applyAlignment="1">
      <alignment horizontal="center"/>
    </xf>
    <xf numFmtId="0" fontId="0" fillId="0" borderId="77" xfId="0" applyBorder="1"/>
    <xf numFmtId="0" fontId="0" fillId="0" borderId="78" xfId="0" applyBorder="1" applyAlignment="1">
      <alignment horizontal="center"/>
    </xf>
    <xf numFmtId="0" fontId="0" fillId="0" borderId="32" xfId="0" applyBorder="1" applyAlignment="1">
      <alignment horizontal="center"/>
    </xf>
    <xf numFmtId="0" fontId="0" fillId="0" borderId="43" xfId="0" applyBorder="1" applyAlignment="1">
      <alignment horizontal="center"/>
    </xf>
    <xf numFmtId="2" fontId="0" fillId="0" borderId="22" xfId="0" applyNumberFormat="1" applyBorder="1" applyAlignment="1">
      <alignment horizontal="center"/>
    </xf>
    <xf numFmtId="2" fontId="0" fillId="0" borderId="38" xfId="0" applyNumberFormat="1" applyBorder="1" applyAlignment="1">
      <alignment horizontal="center"/>
    </xf>
    <xf numFmtId="2" fontId="0" fillId="0" borderId="23" xfId="0" applyNumberFormat="1" applyBorder="1" applyAlignment="1">
      <alignment horizontal="center"/>
    </xf>
    <xf numFmtId="2" fontId="0" fillId="0" borderId="19" xfId="0" applyNumberFormat="1" applyBorder="1" applyAlignment="1">
      <alignment horizontal="center"/>
    </xf>
    <xf numFmtId="0" fontId="0" fillId="0" borderId="13" xfId="0" applyBorder="1"/>
    <xf numFmtId="165" fontId="0" fillId="0" borderId="21" xfId="0" applyNumberFormat="1" applyBorder="1" applyAlignment="1">
      <alignment horizontal="center"/>
    </xf>
    <xf numFmtId="166" fontId="0" fillId="0" borderId="5" xfId="0" applyNumberFormat="1" applyBorder="1" applyAlignment="1">
      <alignment horizontal="center"/>
    </xf>
    <xf numFmtId="166" fontId="0" fillId="0" borderId="0" xfId="0" applyNumberFormat="1" applyBorder="1" applyAlignment="1">
      <alignment horizontal="center"/>
    </xf>
    <xf numFmtId="166" fontId="0" fillId="0" borderId="22" xfId="0" applyNumberFormat="1" applyBorder="1" applyAlignment="1">
      <alignment horizontal="center"/>
    </xf>
    <xf numFmtId="165" fontId="0" fillId="0" borderId="18" xfId="0" applyNumberFormat="1" applyBorder="1" applyAlignment="1">
      <alignment horizontal="center"/>
    </xf>
    <xf numFmtId="166" fontId="0" fillId="0" borderId="38" xfId="0" applyNumberFormat="1" applyBorder="1" applyAlignment="1">
      <alignment horizontal="center"/>
    </xf>
    <xf numFmtId="166" fontId="0" fillId="0" borderId="23" xfId="0" applyNumberFormat="1" applyBorder="1" applyAlignment="1">
      <alignment horizontal="center"/>
    </xf>
    <xf numFmtId="166" fontId="0" fillId="0" borderId="19" xfId="0" applyNumberFormat="1" applyBorder="1" applyAlignment="1">
      <alignment horizontal="center"/>
    </xf>
    <xf numFmtId="0" fontId="22" fillId="0" borderId="0" xfId="0" applyFont="1"/>
    <xf numFmtId="0" fontId="23" fillId="0" borderId="0" xfId="0" applyFont="1"/>
    <xf numFmtId="166" fontId="0" fillId="20" borderId="25" xfId="1" applyNumberFormat="1" applyFont="1" applyFill="1" applyBorder="1" applyAlignment="1">
      <alignment horizontal="center"/>
    </xf>
    <xf numFmtId="166" fontId="24" fillId="20" borderId="0" xfId="1" applyNumberFormat="1" applyFont="1" applyFill="1" applyBorder="1"/>
    <xf numFmtId="166" fontId="24" fillId="0" borderId="0" xfId="1" applyNumberFormat="1" applyFont="1" applyFill="1" applyBorder="1"/>
    <xf numFmtId="0" fontId="0" fillId="0" borderId="0" xfId="0" applyFont="1" applyFill="1" applyBorder="1"/>
    <xf numFmtId="0" fontId="0" fillId="0" borderId="0" xfId="0" applyFont="1" applyFill="1" applyBorder="1" applyAlignment="1">
      <alignment horizontal="right"/>
    </xf>
    <xf numFmtId="166" fontId="24" fillId="0" borderId="0" xfId="1" applyNumberFormat="1" applyFont="1" applyAlignment="1"/>
    <xf numFmtId="0" fontId="0" fillId="0" borderId="0" xfId="0" applyFont="1" applyFill="1" applyBorder="1" applyAlignment="1">
      <alignment horizontal="center" wrapText="1"/>
    </xf>
    <xf numFmtId="0" fontId="25" fillId="0" borderId="0" xfId="0" applyFont="1" applyFill="1" applyBorder="1" applyAlignment="1">
      <alignment horizontal="right"/>
    </xf>
    <xf numFmtId="166" fontId="0" fillId="26" borderId="52" xfId="0" applyNumberFormat="1" applyFill="1" applyBorder="1" applyAlignment="1">
      <alignment horizontal="center"/>
    </xf>
    <xf numFmtId="0" fontId="26" fillId="0" borderId="0" xfId="0" applyFont="1" applyFill="1" applyBorder="1" applyAlignment="1">
      <alignment horizontal="right"/>
    </xf>
    <xf numFmtId="166" fontId="0" fillId="28" borderId="52" xfId="0" applyNumberFormat="1" applyFill="1" applyBorder="1" applyAlignment="1">
      <alignment horizontal="center"/>
    </xf>
    <xf numFmtId="0" fontId="0" fillId="0" borderId="5" xfId="0" applyFill="1" applyBorder="1" applyAlignment="1">
      <alignment horizontal="center"/>
    </xf>
    <xf numFmtId="0" fontId="0" fillId="0" borderId="6" xfId="0" applyFill="1" applyBorder="1" applyAlignment="1">
      <alignment horizontal="center"/>
    </xf>
    <xf numFmtId="9" fontId="27" fillId="26" borderId="72" xfId="0" applyNumberFormat="1" applyFont="1" applyFill="1" applyBorder="1" applyAlignment="1">
      <alignment horizontal="center"/>
    </xf>
    <xf numFmtId="0" fontId="25" fillId="0" borderId="0" xfId="0" applyFont="1" applyBorder="1" applyAlignment="1">
      <alignment horizontal="left"/>
    </xf>
    <xf numFmtId="9" fontId="27" fillId="28" borderId="79" xfId="0" applyNumberFormat="1" applyFont="1" applyFill="1" applyBorder="1" applyAlignment="1">
      <alignment horizontal="center"/>
    </xf>
    <xf numFmtId="0" fontId="26" fillId="0" borderId="0" xfId="0" applyFont="1" applyBorder="1" applyAlignment="1">
      <alignment horizontal="left"/>
    </xf>
    <xf numFmtId="166" fontId="0" fillId="26" borderId="0" xfId="0" applyNumberFormat="1" applyFill="1" applyBorder="1" applyAlignment="1">
      <alignment horizontal="left"/>
    </xf>
    <xf numFmtId="166" fontId="0" fillId="28" borderId="0" xfId="0" applyNumberFormat="1" applyFill="1" applyBorder="1" applyAlignment="1">
      <alignment horizontal="left"/>
    </xf>
    <xf numFmtId="0" fontId="0" fillId="0" borderId="10" xfId="0" applyBorder="1" applyAlignment="1">
      <alignment horizontal="right" vertical="center"/>
    </xf>
    <xf numFmtId="166" fontId="20" fillId="25" borderId="12" xfId="0" applyNumberFormat="1" applyFont="1" applyFill="1" applyBorder="1" applyAlignment="1"/>
    <xf numFmtId="0" fontId="0" fillId="0" borderId="18" xfId="0" applyBorder="1" applyAlignment="1">
      <alignment horizontal="right" vertical="center" wrapText="1"/>
    </xf>
    <xf numFmtId="166" fontId="20" fillId="25" borderId="19" xfId="0" applyNumberFormat="1" applyFont="1" applyFill="1" applyBorder="1" applyAlignment="1"/>
    <xf numFmtId="166" fontId="27" fillId="0" borderId="0" xfId="0" applyNumberFormat="1" applyFont="1" applyFill="1" applyBorder="1" applyAlignment="1"/>
    <xf numFmtId="0" fontId="0" fillId="0" borderId="0" xfId="0" applyFill="1" applyBorder="1" applyAlignment="1">
      <alignment horizontal="right" vertical="center" wrapText="1"/>
    </xf>
    <xf numFmtId="166" fontId="20" fillId="0" borderId="0" xfId="0" applyNumberFormat="1" applyFont="1" applyFill="1" applyBorder="1" applyAlignment="1"/>
    <xf numFmtId="166" fontId="0" fillId="0" borderId="63" xfId="0" applyNumberFormat="1" applyFont="1" applyFill="1" applyBorder="1" applyAlignment="1"/>
    <xf numFmtId="166" fontId="0" fillId="0" borderId="64" xfId="0" applyNumberFormat="1" applyFont="1" applyFill="1" applyBorder="1" applyAlignment="1"/>
    <xf numFmtId="9" fontId="0" fillId="0" borderId="64" xfId="0" applyNumberFormat="1" applyFont="1" applyFill="1" applyBorder="1" applyAlignment="1"/>
    <xf numFmtId="9" fontId="0" fillId="0" borderId="54" xfId="0" applyNumberFormat="1" applyFont="1" applyFill="1" applyBorder="1" applyAlignment="1"/>
    <xf numFmtId="166" fontId="0" fillId="21" borderId="0" xfId="0" applyNumberFormat="1" applyFill="1" applyBorder="1"/>
    <xf numFmtId="10" fontId="0" fillId="22" borderId="0" xfId="1" applyNumberFormat="1" applyFont="1" applyFill="1" applyBorder="1" applyAlignment="1"/>
    <xf numFmtId="9" fontId="0" fillId="21" borderId="0" xfId="0" applyNumberFormat="1" applyFill="1" applyBorder="1"/>
    <xf numFmtId="0" fontId="0" fillId="0" borderId="0" xfId="0" applyBorder="1" applyAlignment="1">
      <alignment horizontal="center"/>
    </xf>
    <xf numFmtId="0" fontId="12" fillId="0" borderId="0" xfId="0" applyFont="1" applyAlignment="1"/>
    <xf numFmtId="171" fontId="0" fillId="0" borderId="0" xfId="0" applyNumberFormat="1" applyBorder="1" applyAlignment="1">
      <alignment horizontal="center"/>
    </xf>
    <xf numFmtId="2" fontId="20" fillId="18" borderId="0" xfId="0" applyNumberFormat="1" applyFont="1" applyFill="1" applyBorder="1" applyAlignment="1">
      <alignment horizontal="center"/>
    </xf>
    <xf numFmtId="0" fontId="3" fillId="8" borderId="15" xfId="0" applyFont="1" applyFill="1" applyBorder="1" applyAlignment="1">
      <alignment horizontal="center" vertical="center" wrapText="1"/>
    </xf>
    <xf numFmtId="0" fontId="3" fillId="8" borderId="2" xfId="0" applyFont="1" applyFill="1" applyBorder="1" applyAlignment="1">
      <alignment horizontal="center" vertical="center" wrapText="1"/>
    </xf>
    <xf numFmtId="164" fontId="0" fillId="2" borderId="37" xfId="0" applyNumberFormat="1" applyFill="1" applyBorder="1" applyAlignment="1">
      <alignment horizontal="center"/>
    </xf>
    <xf numFmtId="164" fontId="0" fillId="7" borderId="14" xfId="0" applyNumberFormat="1" applyFill="1" applyBorder="1" applyAlignment="1">
      <alignment horizontal="center"/>
    </xf>
    <xf numFmtId="0" fontId="20" fillId="18" borderId="0" xfId="0" applyFont="1" applyFill="1" applyBorder="1"/>
    <xf numFmtId="2" fontId="0" fillId="3" borderId="22" xfId="0" applyNumberFormat="1" applyFill="1" applyBorder="1" applyAlignment="1">
      <alignment horizontal="center"/>
    </xf>
    <xf numFmtId="166" fontId="0" fillId="3" borderId="22" xfId="1" applyNumberFormat="1" applyFont="1" applyFill="1" applyBorder="1" applyAlignment="1">
      <alignment horizontal="center"/>
    </xf>
    <xf numFmtId="164" fontId="0" fillId="2" borderId="16" xfId="0" applyNumberFormat="1" applyFill="1" applyBorder="1" applyAlignment="1">
      <alignment horizontal="center"/>
    </xf>
    <xf numFmtId="164" fontId="0" fillId="7" borderId="4" xfId="0" applyNumberFormat="1" applyFill="1" applyBorder="1" applyAlignment="1">
      <alignment horizontal="center"/>
    </xf>
    <xf numFmtId="165" fontId="0" fillId="0" borderId="0" xfId="0" applyNumberFormat="1" applyBorder="1" applyAlignment="1">
      <alignment horizontal="center"/>
    </xf>
    <xf numFmtId="2" fontId="0" fillId="0" borderId="0" xfId="1" applyNumberFormat="1" applyFont="1" applyFill="1" applyBorder="1" applyAlignment="1">
      <alignment horizontal="center"/>
    </xf>
    <xf numFmtId="9" fontId="0" fillId="12" borderId="24" xfId="0" applyNumberFormat="1" applyFill="1" applyBorder="1" applyAlignment="1">
      <alignment horizontal="center"/>
    </xf>
    <xf numFmtId="166" fontId="0" fillId="12" borderId="24" xfId="0" applyNumberFormat="1" applyFill="1" applyBorder="1" applyAlignment="1">
      <alignment horizontal="center"/>
    </xf>
    <xf numFmtId="9" fontId="0" fillId="12" borderId="25" xfId="0" applyNumberFormat="1" applyFill="1" applyBorder="1" applyAlignment="1">
      <alignment horizontal="center"/>
    </xf>
    <xf numFmtId="166" fontId="0" fillId="26" borderId="25" xfId="0" applyNumberFormat="1" applyFill="1" applyBorder="1" applyAlignment="1">
      <alignment horizontal="center"/>
    </xf>
    <xf numFmtId="9" fontId="0" fillId="12" borderId="26" xfId="0" applyNumberFormat="1" applyFill="1" applyBorder="1" applyAlignment="1">
      <alignment horizontal="center"/>
    </xf>
    <xf numFmtId="166" fontId="0" fillId="26" borderId="26" xfId="0" applyNumberFormat="1" applyFill="1" applyBorder="1" applyAlignment="1">
      <alignment horizontal="center"/>
    </xf>
    <xf numFmtId="9" fontId="0" fillId="0" borderId="0" xfId="0" applyNumberFormat="1" applyBorder="1" applyAlignment="1">
      <alignment horizontal="center"/>
    </xf>
    <xf numFmtId="2" fontId="0" fillId="3" borderId="41" xfId="0" applyNumberFormat="1" applyFill="1" applyBorder="1" applyAlignment="1">
      <alignment horizontal="center"/>
    </xf>
    <xf numFmtId="166" fontId="0" fillId="3" borderId="41" xfId="1" applyNumberFormat="1" applyFont="1" applyFill="1" applyBorder="1" applyAlignment="1">
      <alignment horizontal="center"/>
    </xf>
    <xf numFmtId="2" fontId="0" fillId="3" borderId="19" xfId="0" applyNumberFormat="1" applyFill="1" applyBorder="1" applyAlignment="1">
      <alignment horizontal="center"/>
    </xf>
    <xf numFmtId="0" fontId="0" fillId="0" borderId="27" xfId="0" applyBorder="1"/>
    <xf numFmtId="165" fontId="0" fillId="2" borderId="17" xfId="0" applyNumberFormat="1" applyFill="1" applyBorder="1" applyAlignment="1">
      <alignment horizontal="center"/>
    </xf>
    <xf numFmtId="165" fontId="0" fillId="2" borderId="26" xfId="0" applyNumberFormat="1" applyFill="1" applyBorder="1" applyAlignment="1">
      <alignment horizontal="center"/>
    </xf>
    <xf numFmtId="165" fontId="0" fillId="2" borderId="52" xfId="0" applyNumberFormat="1" applyFill="1" applyBorder="1" applyAlignment="1">
      <alignment horizontal="center"/>
    </xf>
    <xf numFmtId="0" fontId="3" fillId="0" borderId="11" xfId="0" applyFont="1" applyFill="1" applyBorder="1" applyAlignment="1">
      <alignment horizontal="center" vertical="center"/>
    </xf>
    <xf numFmtId="0" fontId="3" fillId="8" borderId="81" xfId="0" applyFont="1" applyFill="1" applyBorder="1" applyAlignment="1">
      <alignment horizontal="center" vertical="center"/>
    </xf>
    <xf numFmtId="0" fontId="0" fillId="0" borderId="8" xfId="0" applyFill="1" applyBorder="1" applyAlignment="1">
      <alignment horizontal="center"/>
    </xf>
    <xf numFmtId="0" fontId="0" fillId="2" borderId="41" xfId="0" applyFill="1" applyBorder="1" applyAlignment="1">
      <alignment horizontal="center"/>
    </xf>
    <xf numFmtId="0" fontId="0" fillId="7" borderId="35" xfId="0" applyFill="1" applyBorder="1" applyAlignment="1">
      <alignment horizontal="center"/>
    </xf>
    <xf numFmtId="0" fontId="0" fillId="26" borderId="0" xfId="0" applyFill="1"/>
    <xf numFmtId="165" fontId="0" fillId="5" borderId="21" xfId="1" applyNumberFormat="1" applyFont="1" applyFill="1" applyBorder="1" applyAlignment="1">
      <alignment horizontal="center"/>
    </xf>
    <xf numFmtId="165" fontId="0" fillId="3" borderId="0" xfId="1" applyNumberFormat="1" applyFont="1" applyFill="1" applyBorder="1" applyAlignment="1">
      <alignment horizontal="center"/>
    </xf>
    <xf numFmtId="164" fontId="0" fillId="2" borderId="22" xfId="0" applyNumberFormat="1" applyFill="1" applyBorder="1" applyAlignment="1">
      <alignment horizontal="center"/>
    </xf>
    <xf numFmtId="164" fontId="0" fillId="12" borderId="2" xfId="0" applyNumberFormat="1" applyFill="1" applyBorder="1" applyAlignment="1">
      <alignment horizontal="center"/>
    </xf>
    <xf numFmtId="164" fontId="0" fillId="12" borderId="6" xfId="0" applyNumberFormat="1" applyFill="1" applyBorder="1" applyAlignment="1">
      <alignment horizontal="center"/>
    </xf>
    <xf numFmtId="164" fontId="0" fillId="12" borderId="4" xfId="0" applyNumberFormat="1" applyFill="1" applyBorder="1" applyAlignment="1">
      <alignment horizontal="center"/>
    </xf>
    <xf numFmtId="0" fontId="0" fillId="3" borderId="22" xfId="0" applyFill="1" applyBorder="1" applyAlignment="1">
      <alignment horizontal="center"/>
    </xf>
    <xf numFmtId="165" fontId="0" fillId="5" borderId="36" xfId="1" applyNumberFormat="1" applyFont="1" applyFill="1" applyBorder="1" applyAlignment="1">
      <alignment horizontal="center"/>
    </xf>
    <xf numFmtId="165" fontId="0" fillId="3" borderId="8" xfId="1" applyNumberFormat="1" applyFont="1" applyFill="1" applyBorder="1" applyAlignment="1">
      <alignment horizontal="center"/>
    </xf>
    <xf numFmtId="164" fontId="0" fillId="2" borderId="41" xfId="0" applyNumberFormat="1" applyFill="1" applyBorder="1" applyAlignment="1">
      <alignment horizontal="center"/>
    </xf>
    <xf numFmtId="0" fontId="0" fillId="0" borderId="23" xfId="0" applyFill="1" applyBorder="1" applyAlignment="1">
      <alignment horizontal="center"/>
    </xf>
    <xf numFmtId="165" fontId="0" fillId="2" borderId="19" xfId="0" applyNumberFormat="1" applyFill="1" applyBorder="1" applyAlignment="1">
      <alignment horizontal="center"/>
    </xf>
    <xf numFmtId="0" fontId="1" fillId="0" borderId="0" xfId="0" applyFont="1" applyAlignment="1"/>
    <xf numFmtId="9" fontId="0" fillId="0" borderId="0" xfId="0" applyNumberFormat="1"/>
    <xf numFmtId="167" fontId="0" fillId="0" borderId="0" xfId="0" applyNumberFormat="1" applyAlignment="1">
      <alignment horizontal="center"/>
    </xf>
    <xf numFmtId="0" fontId="1" fillId="8" borderId="42" xfId="0" applyFont="1" applyFill="1" applyBorder="1" applyAlignment="1">
      <alignment horizontal="center" vertical="center"/>
    </xf>
    <xf numFmtId="0" fontId="1" fillId="8" borderId="43" xfId="0" applyFont="1" applyFill="1" applyBorder="1" applyAlignment="1">
      <alignment horizontal="center" vertical="center"/>
    </xf>
    <xf numFmtId="0" fontId="0" fillId="0" borderId="0" xfId="0" applyBorder="1" applyAlignment="1">
      <alignment horizontal="center"/>
    </xf>
    <xf numFmtId="164" fontId="0" fillId="23" borderId="22" xfId="0" applyNumberFormat="1" applyFill="1" applyBorder="1" applyAlignment="1"/>
    <xf numFmtId="2" fontId="0" fillId="23" borderId="21" xfId="0" applyNumberFormat="1" applyFill="1" applyBorder="1" applyAlignment="1">
      <alignment horizontal="center"/>
    </xf>
    <xf numFmtId="2" fontId="0" fillId="23" borderId="0" xfId="0" applyNumberFormat="1" applyFill="1" applyBorder="1" applyAlignment="1">
      <alignment horizontal="center"/>
    </xf>
    <xf numFmtId="2" fontId="0" fillId="23" borderId="22" xfId="0" applyNumberFormat="1" applyFill="1" applyBorder="1" applyAlignment="1">
      <alignment horizontal="center"/>
    </xf>
    <xf numFmtId="164" fontId="0" fillId="0" borderId="52" xfId="0" applyNumberFormat="1" applyBorder="1"/>
    <xf numFmtId="166" fontId="0" fillId="0" borderId="0" xfId="0" applyNumberFormat="1" applyFill="1" applyBorder="1" applyAlignment="1">
      <alignment horizontal="right"/>
    </xf>
    <xf numFmtId="166" fontId="24" fillId="0" borderId="0" xfId="0" applyNumberFormat="1" applyFont="1" applyBorder="1" applyAlignment="1">
      <alignment horizontal="right"/>
    </xf>
    <xf numFmtId="6" fontId="0" fillId="0" borderId="0" xfId="0" applyNumberFormat="1" applyBorder="1" applyAlignment="1">
      <alignment horizontal="left"/>
    </xf>
    <xf numFmtId="10" fontId="0" fillId="0" borderId="0" xfId="0" applyNumberFormat="1" applyBorder="1" applyAlignment="1">
      <alignment horizontal="center"/>
    </xf>
    <xf numFmtId="8" fontId="0" fillId="0" borderId="1" xfId="0" applyNumberFormat="1" applyBorder="1" applyAlignment="1">
      <alignment horizontal="center"/>
    </xf>
    <xf numFmtId="170" fontId="0" fillId="0" borderId="0" xfId="0" applyNumberFormat="1" applyBorder="1" applyAlignment="1">
      <alignment horizontal="center"/>
    </xf>
    <xf numFmtId="178" fontId="0" fillId="0" borderId="1" xfId="0" applyNumberFormat="1" applyBorder="1" applyAlignment="1">
      <alignment horizontal="center"/>
    </xf>
    <xf numFmtId="178" fontId="0" fillId="0" borderId="2" xfId="0" applyNumberFormat="1" applyBorder="1" applyAlignment="1">
      <alignment horizontal="center"/>
    </xf>
    <xf numFmtId="178" fontId="0" fillId="0" borderId="13" xfId="0" applyNumberFormat="1" applyBorder="1" applyAlignment="1">
      <alignment horizontal="center"/>
    </xf>
    <xf numFmtId="178" fontId="0" fillId="0" borderId="14" xfId="0" applyNumberFormat="1" applyBorder="1" applyAlignment="1">
      <alignment horizontal="center"/>
    </xf>
    <xf numFmtId="178" fontId="0" fillId="0" borderId="0" xfId="0" applyNumberFormat="1" applyBorder="1" applyAlignment="1">
      <alignment horizontal="center"/>
    </xf>
    <xf numFmtId="0" fontId="1" fillId="0" borderId="10" xfId="0" applyFont="1" applyBorder="1" applyAlignment="1"/>
    <xf numFmtId="0" fontId="0" fillId="0" borderId="0" xfId="0" quotePrefix="1" applyBorder="1" applyAlignment="1">
      <alignment horizontal="left"/>
    </xf>
    <xf numFmtId="0" fontId="0" fillId="0" borderId="22" xfId="0" quotePrefix="1" applyBorder="1" applyAlignment="1"/>
    <xf numFmtId="10" fontId="0" fillId="0" borderId="22" xfId="0" applyNumberFormat="1" applyBorder="1" applyAlignment="1"/>
    <xf numFmtId="176" fontId="0" fillId="0" borderId="22" xfId="0" applyNumberFormat="1" applyBorder="1" applyAlignment="1"/>
    <xf numFmtId="0" fontId="0" fillId="0" borderId="18" xfId="0" applyBorder="1" applyAlignment="1"/>
    <xf numFmtId="0" fontId="0" fillId="0" borderId="0" xfId="0" quotePrefix="1" applyBorder="1" applyAlignment="1"/>
    <xf numFmtId="176" fontId="0" fillId="0" borderId="0" xfId="0" applyNumberFormat="1" applyBorder="1" applyAlignment="1"/>
    <xf numFmtId="177" fontId="0" fillId="0" borderId="0" xfId="0" applyNumberFormat="1" applyBorder="1" applyAlignment="1"/>
    <xf numFmtId="4" fontId="0" fillId="0" borderId="0" xfId="0" applyNumberFormat="1" applyBorder="1" applyAlignment="1"/>
    <xf numFmtId="0" fontId="0" fillId="23" borderId="0" xfId="0" applyFill="1" applyBorder="1" applyAlignment="1">
      <alignment horizontal="center"/>
    </xf>
    <xf numFmtId="0" fontId="0" fillId="0" borderId="0" xfId="0" applyFill="1" applyBorder="1" applyAlignment="1">
      <alignment wrapText="1"/>
    </xf>
    <xf numFmtId="0" fontId="0" fillId="0" borderId="0" xfId="0" applyBorder="1" applyAlignment="1">
      <alignment horizontal="center"/>
    </xf>
    <xf numFmtId="0" fontId="3" fillId="24" borderId="11" xfId="0" applyFont="1" applyFill="1" applyBorder="1" applyAlignment="1">
      <alignment horizontal="center" vertical="center"/>
    </xf>
    <xf numFmtId="0" fontId="0" fillId="24" borderId="8" xfId="0" applyFill="1" applyBorder="1" applyAlignment="1">
      <alignment horizontal="center"/>
    </xf>
    <xf numFmtId="0" fontId="0" fillId="24" borderId="23" xfId="0" applyFill="1" applyBorder="1" applyAlignment="1">
      <alignment horizontal="center"/>
    </xf>
    <xf numFmtId="9" fontId="0" fillId="24" borderId="0" xfId="0" applyNumberFormat="1" applyFill="1" applyBorder="1" applyAlignment="1">
      <alignment horizontal="center"/>
    </xf>
    <xf numFmtId="9" fontId="0" fillId="24" borderId="8" xfId="0" applyNumberFormat="1" applyFill="1" applyBorder="1" applyAlignment="1">
      <alignment horizontal="center"/>
    </xf>
    <xf numFmtId="0" fontId="3" fillId="29" borderId="11" xfId="0" applyFont="1" applyFill="1" applyBorder="1" applyAlignment="1">
      <alignment horizontal="center" vertical="center"/>
    </xf>
    <xf numFmtId="0" fontId="0" fillId="29" borderId="8" xfId="0" applyFill="1" applyBorder="1" applyAlignment="1">
      <alignment horizontal="center"/>
    </xf>
    <xf numFmtId="9" fontId="0" fillId="29" borderId="0" xfId="0" applyNumberFormat="1" applyFill="1" applyBorder="1" applyAlignment="1">
      <alignment horizontal="center"/>
    </xf>
    <xf numFmtId="9" fontId="0" fillId="29" borderId="8" xfId="0" applyNumberFormat="1" applyFill="1" applyBorder="1" applyAlignment="1">
      <alignment horizontal="center"/>
    </xf>
    <xf numFmtId="0" fontId="0" fillId="29" borderId="23" xfId="0" applyFill="1" applyBorder="1" applyAlignment="1">
      <alignment horizontal="center"/>
    </xf>
    <xf numFmtId="0" fontId="0" fillId="0" borderId="0" xfId="0" applyFont="1" applyBorder="1" applyAlignment="1">
      <alignment horizontal="right"/>
    </xf>
    <xf numFmtId="0" fontId="0" fillId="26" borderId="30" xfId="0" applyFill="1" applyBorder="1"/>
    <xf numFmtId="0" fontId="20" fillId="18" borderId="33" xfId="0" applyFont="1" applyFill="1" applyBorder="1"/>
    <xf numFmtId="0" fontId="0" fillId="0" borderId="33" xfId="0" applyBorder="1" applyAlignment="1">
      <alignment horizontal="right"/>
    </xf>
    <xf numFmtId="2" fontId="0" fillId="5" borderId="30" xfId="0" applyNumberFormat="1" applyFill="1" applyBorder="1" applyAlignment="1">
      <alignment horizontal="center"/>
    </xf>
    <xf numFmtId="2" fontId="0" fillId="3" borderId="31" xfId="0" applyNumberFormat="1" applyFill="1" applyBorder="1" applyAlignment="1">
      <alignment horizontal="center"/>
    </xf>
    <xf numFmtId="2" fontId="20" fillId="18" borderId="0" xfId="0" applyNumberFormat="1" applyFont="1" applyFill="1" applyBorder="1"/>
    <xf numFmtId="2" fontId="0" fillId="0" borderId="31" xfId="0" applyNumberFormat="1" applyFill="1" applyBorder="1" applyAlignment="1">
      <alignment horizontal="center"/>
    </xf>
    <xf numFmtId="179" fontId="0" fillId="0" borderId="0" xfId="1" applyNumberFormat="1" applyFont="1" applyFill="1" applyBorder="1" applyAlignment="1">
      <alignment horizontal="left" indent="1"/>
    </xf>
    <xf numFmtId="179" fontId="0" fillId="0" borderId="0" xfId="0" applyNumberFormat="1" applyBorder="1"/>
    <xf numFmtId="168" fontId="0" fillId="0" borderId="0" xfId="0" applyNumberFormat="1" applyBorder="1" applyAlignment="1">
      <alignment horizontal="center"/>
    </xf>
    <xf numFmtId="0" fontId="0" fillId="0" borderId="0" xfId="0" applyBorder="1" applyAlignment="1">
      <alignment horizontal="center"/>
    </xf>
    <xf numFmtId="165" fontId="0" fillId="0" borderId="0" xfId="1" applyNumberFormat="1" applyFont="1" applyFill="1" applyBorder="1" applyAlignment="1">
      <alignment horizontal="center"/>
    </xf>
    <xf numFmtId="175" fontId="0" fillId="0" borderId="21" xfId="0" applyNumberFormat="1" applyBorder="1" applyAlignment="1">
      <alignment horizontal="right"/>
    </xf>
    <xf numFmtId="0" fontId="0" fillId="23" borderId="8" xfId="0" applyFill="1" applyBorder="1" applyAlignment="1">
      <alignment horizontal="right"/>
    </xf>
    <xf numFmtId="10" fontId="28" fillId="32" borderId="0" xfId="1" applyNumberFormat="1" applyFont="1" applyFill="1" applyBorder="1"/>
    <xf numFmtId="0" fontId="28" fillId="32" borderId="0" xfId="0" applyFont="1" applyFill="1" applyBorder="1" applyAlignment="1"/>
    <xf numFmtId="0" fontId="29" fillId="0" borderId="0" xfId="0" applyFont="1" applyAlignment="1">
      <alignment wrapText="1"/>
    </xf>
    <xf numFmtId="164" fontId="0" fillId="30" borderId="23" xfId="0" applyNumberFormat="1" applyFill="1" applyBorder="1" applyAlignment="1">
      <alignment horizontal="center"/>
    </xf>
    <xf numFmtId="164" fontId="0" fillId="30" borderId="52" xfId="0" applyNumberFormat="1" applyFill="1" applyBorder="1" applyAlignment="1">
      <alignment horizontal="left"/>
    </xf>
    <xf numFmtId="0" fontId="0" fillId="0" borderId="0" xfId="0" applyBorder="1" applyAlignment="1">
      <alignment horizontal="center"/>
    </xf>
    <xf numFmtId="0" fontId="1" fillId="0" borderId="0" xfId="0" applyFont="1" applyFill="1" applyBorder="1" applyAlignment="1">
      <alignment horizontal="center" vertical="center"/>
    </xf>
    <xf numFmtId="0" fontId="21" fillId="0" borderId="0" xfId="0" applyFont="1"/>
    <xf numFmtId="9" fontId="1" fillId="0" borderId="0" xfId="1" applyNumberFormat="1" applyFont="1" applyBorder="1"/>
    <xf numFmtId="166" fontId="1" fillId="0" borderId="0" xfId="1" applyNumberFormat="1" applyFont="1" applyFill="1" applyBorder="1"/>
    <xf numFmtId="2" fontId="0" fillId="0" borderId="10" xfId="0" applyNumberFormat="1" applyBorder="1"/>
    <xf numFmtId="2" fontId="0" fillId="0" borderId="11" xfId="0" applyNumberFormat="1" applyBorder="1"/>
    <xf numFmtId="166" fontId="1" fillId="0" borderId="12" xfId="1" applyNumberFormat="1" applyFont="1" applyBorder="1"/>
    <xf numFmtId="2" fontId="0" fillId="0" borderId="18" xfId="0" applyNumberFormat="1" applyBorder="1"/>
    <xf numFmtId="2" fontId="0" fillId="0" borderId="23" xfId="0" applyNumberFormat="1" applyBorder="1"/>
    <xf numFmtId="166" fontId="1" fillId="12" borderId="19" xfId="1" applyNumberFormat="1" applyFont="1" applyFill="1" applyBorder="1"/>
    <xf numFmtId="166" fontId="0" fillId="5" borderId="21" xfId="0" applyNumberFormat="1" applyFill="1" applyBorder="1" applyAlignment="1">
      <alignment horizontal="center"/>
    </xf>
    <xf numFmtId="166" fontId="0" fillId="4" borderId="0" xfId="0" applyNumberFormat="1" applyFill="1" applyBorder="1" applyAlignment="1">
      <alignment horizontal="center"/>
    </xf>
    <xf numFmtId="166" fontId="0" fillId="3" borderId="0" xfId="0" applyNumberFormat="1" applyFill="1" applyBorder="1" applyAlignment="1">
      <alignment horizontal="center"/>
    </xf>
    <xf numFmtId="166" fontId="0" fillId="6" borderId="22" xfId="0" applyNumberFormat="1" applyFill="1" applyBorder="1" applyAlignment="1">
      <alignment horizontal="center"/>
    </xf>
    <xf numFmtId="2" fontId="0" fillId="0" borderId="10" xfId="0" applyNumberFormat="1" applyBorder="1" applyAlignment="1"/>
    <xf numFmtId="2" fontId="0" fillId="0" borderId="11" xfId="0" applyNumberFormat="1" applyBorder="1" applyAlignment="1"/>
    <xf numFmtId="2" fontId="0" fillId="0" borderId="21" xfId="0" applyNumberFormat="1" applyBorder="1" applyAlignment="1"/>
    <xf numFmtId="2" fontId="6" fillId="0" borderId="0" xfId="0" applyNumberFormat="1" applyFont="1" applyBorder="1" applyAlignment="1"/>
    <xf numFmtId="1" fontId="0" fillId="0" borderId="21" xfId="0" applyNumberFormat="1" applyBorder="1" applyAlignment="1"/>
    <xf numFmtId="1" fontId="0" fillId="0" borderId="18" xfId="0" applyNumberFormat="1" applyBorder="1" applyAlignment="1"/>
    <xf numFmtId="166" fontId="0" fillId="5" borderId="18" xfId="0" applyNumberFormat="1" applyFill="1" applyBorder="1" applyAlignment="1">
      <alignment horizontal="center"/>
    </xf>
    <xf numFmtId="166" fontId="0" fillId="4" borderId="23" xfId="0" applyNumberFormat="1" applyFill="1" applyBorder="1" applyAlignment="1">
      <alignment horizontal="center"/>
    </xf>
    <xf numFmtId="166" fontId="0" fillId="3" borderId="23" xfId="0" applyNumberFormat="1" applyFill="1" applyBorder="1" applyAlignment="1">
      <alignment horizontal="center"/>
    </xf>
    <xf numFmtId="166" fontId="0" fillId="6" borderId="19" xfId="0" applyNumberFormat="1" applyFill="1" applyBorder="1" applyAlignment="1">
      <alignment horizontal="center"/>
    </xf>
    <xf numFmtId="0" fontId="0" fillId="0" borderId="39" xfId="0" applyBorder="1"/>
    <xf numFmtId="2" fontId="0" fillId="0" borderId="30" xfId="0" applyNumberFormat="1" applyBorder="1" applyAlignment="1">
      <alignment horizontal="center"/>
    </xf>
    <xf numFmtId="2" fontId="0" fillId="0" borderId="33" xfId="0" applyNumberFormat="1" applyBorder="1" applyAlignment="1">
      <alignment horizontal="center"/>
    </xf>
    <xf numFmtId="2" fontId="0" fillId="0" borderId="31" xfId="0" applyNumberFormat="1" applyBorder="1" applyAlignment="1">
      <alignment horizontal="center"/>
    </xf>
    <xf numFmtId="166" fontId="0" fillId="0" borderId="6" xfId="1" applyNumberFormat="1" applyFont="1" applyFill="1" applyBorder="1" applyAlignment="1">
      <alignment horizontal="center"/>
    </xf>
    <xf numFmtId="0" fontId="0" fillId="0" borderId="28"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9" fontId="0" fillId="0" borderId="5" xfId="0" applyNumberFormat="1" applyBorder="1" applyAlignment="1">
      <alignment horizontal="center"/>
    </xf>
    <xf numFmtId="0" fontId="0" fillId="0" borderId="6" xfId="0" applyBorder="1" applyAlignment="1">
      <alignment horizontal="center"/>
    </xf>
    <xf numFmtId="9" fontId="0" fillId="0" borderId="13" xfId="0" applyNumberFormat="1" applyBorder="1" applyAlignment="1">
      <alignment horizontal="center"/>
    </xf>
    <xf numFmtId="0" fontId="0" fillId="0" borderId="10" xfId="0" applyBorder="1" applyAlignment="1"/>
    <xf numFmtId="0" fontId="20" fillId="33" borderId="0" xfId="0" applyFont="1" applyFill="1" applyBorder="1"/>
    <xf numFmtId="0" fontId="0" fillId="0" borderId="0" xfId="0" applyBorder="1" applyAlignment="1">
      <alignment horizontal="center"/>
    </xf>
    <xf numFmtId="1" fontId="0" fillId="21" borderId="7" xfId="0" applyNumberFormat="1" applyFill="1" applyBorder="1" applyAlignment="1"/>
    <xf numFmtId="164" fontId="0" fillId="34" borderId="0" xfId="0" applyNumberFormat="1" applyFill="1" applyBorder="1"/>
    <xf numFmtId="1" fontId="0" fillId="21" borderId="4" xfId="0" applyNumberFormat="1" applyFill="1" applyBorder="1"/>
    <xf numFmtId="1" fontId="0" fillId="12" borderId="15" xfId="0" applyNumberFormat="1" applyFill="1" applyBorder="1" applyAlignment="1"/>
    <xf numFmtId="0" fontId="1" fillId="0" borderId="63" xfId="0" applyFont="1" applyBorder="1"/>
    <xf numFmtId="10" fontId="0" fillId="0" borderId="54" xfId="0" applyNumberFormat="1" applyBorder="1" applyAlignment="1">
      <alignment horizontal="right"/>
    </xf>
    <xf numFmtId="164" fontId="0" fillId="7" borderId="14" xfId="0" applyNumberFormat="1" applyFill="1" applyBorder="1" applyAlignment="1"/>
    <xf numFmtId="0" fontId="0" fillId="13" borderId="42" xfId="0" applyFill="1" applyBorder="1" applyAlignment="1">
      <alignment horizontal="center"/>
    </xf>
    <xf numFmtId="0" fontId="0" fillId="14" borderId="43" xfId="0" applyFill="1" applyBorder="1" applyAlignment="1">
      <alignment horizontal="center"/>
    </xf>
    <xf numFmtId="0" fontId="0" fillId="2" borderId="19" xfId="0" applyFill="1" applyBorder="1" applyAlignment="1"/>
    <xf numFmtId="0" fontId="3" fillId="8" borderId="24" xfId="0" applyFont="1" applyFill="1" applyBorder="1" applyAlignment="1">
      <alignment horizontal="left" vertical="center"/>
    </xf>
    <xf numFmtId="0" fontId="0" fillId="13" borderId="55" xfId="0" applyFill="1" applyBorder="1" applyAlignment="1">
      <alignment horizontal="center"/>
    </xf>
    <xf numFmtId="166" fontId="0" fillId="13" borderId="67" xfId="1" applyNumberFormat="1" applyFont="1" applyFill="1" applyBorder="1" applyAlignment="1">
      <alignment horizontal="center"/>
    </xf>
    <xf numFmtId="166" fontId="0" fillId="13" borderId="16" xfId="1" applyNumberFormat="1" applyFont="1" applyFill="1" applyBorder="1" applyAlignment="1">
      <alignment horizontal="center"/>
    </xf>
    <xf numFmtId="166" fontId="0" fillId="13" borderId="37" xfId="1" applyNumberFormat="1" applyFont="1" applyFill="1" applyBorder="1" applyAlignment="1">
      <alignment horizontal="center"/>
    </xf>
    <xf numFmtId="166" fontId="0" fillId="13" borderId="17" xfId="1" applyNumberFormat="1" applyFont="1" applyFill="1" applyBorder="1" applyAlignment="1">
      <alignment horizontal="center"/>
    </xf>
    <xf numFmtId="180" fontId="0" fillId="13" borderId="56" xfId="1" applyNumberFormat="1" applyFont="1" applyFill="1" applyBorder="1" applyAlignment="1">
      <alignment horizontal="center"/>
    </xf>
    <xf numFmtId="180" fontId="0" fillId="14" borderId="57" xfId="1" applyNumberFormat="1" applyFont="1" applyFill="1" applyBorder="1" applyAlignment="1">
      <alignment horizontal="center"/>
    </xf>
    <xf numFmtId="180" fontId="0" fillId="13" borderId="21" xfId="1" applyNumberFormat="1" applyFont="1" applyFill="1" applyBorder="1" applyAlignment="1">
      <alignment horizontal="center"/>
    </xf>
    <xf numFmtId="180" fontId="0" fillId="14" borderId="22" xfId="1" applyNumberFormat="1" applyFont="1" applyFill="1" applyBorder="1" applyAlignment="1">
      <alignment horizontal="center"/>
    </xf>
    <xf numFmtId="180" fontId="0" fillId="13" borderId="36" xfId="1" applyNumberFormat="1" applyFont="1" applyFill="1" applyBorder="1" applyAlignment="1">
      <alignment horizontal="center"/>
    </xf>
    <xf numFmtId="180" fontId="0" fillId="14" borderId="41" xfId="1" applyNumberFormat="1" applyFont="1" applyFill="1" applyBorder="1" applyAlignment="1">
      <alignment horizontal="center"/>
    </xf>
    <xf numFmtId="180" fontId="0" fillId="13" borderId="18" xfId="1" applyNumberFormat="1" applyFont="1" applyFill="1" applyBorder="1" applyAlignment="1">
      <alignment horizontal="center"/>
    </xf>
    <xf numFmtId="180" fontId="0" fillId="14" borderId="19" xfId="1" applyNumberFormat="1" applyFont="1" applyFill="1" applyBorder="1" applyAlignment="1">
      <alignment horizontal="center"/>
    </xf>
    <xf numFmtId="6" fontId="0" fillId="0" borderId="0" xfId="0" applyNumberFormat="1" applyBorder="1" applyAlignment="1">
      <alignment horizontal="center"/>
    </xf>
    <xf numFmtId="0" fontId="0" fillId="0" borderId="30" xfId="0" applyBorder="1" applyAlignment="1">
      <alignment horizontal="right"/>
    </xf>
    <xf numFmtId="2" fontId="0" fillId="5" borderId="88" xfId="0" applyNumberFormat="1" applyFill="1" applyBorder="1" applyAlignment="1">
      <alignment horizontal="center"/>
    </xf>
    <xf numFmtId="2" fontId="0" fillId="4" borderId="33" xfId="0" applyNumberFormat="1" applyFill="1" applyBorder="1" applyAlignment="1">
      <alignment horizontal="center"/>
    </xf>
    <xf numFmtId="2" fontId="0" fillId="3" borderId="33" xfId="0" applyNumberFormat="1" applyFill="1" applyBorder="1" applyAlignment="1">
      <alignment horizontal="center"/>
    </xf>
    <xf numFmtId="2" fontId="0" fillId="6" borderId="31" xfId="0" applyNumberFormat="1" applyFill="1" applyBorder="1" applyAlignment="1">
      <alignment horizontal="center"/>
    </xf>
    <xf numFmtId="10" fontId="30" fillId="0" borderId="0" xfId="0" applyNumberFormat="1" applyFont="1" applyBorder="1"/>
    <xf numFmtId="4" fontId="3" fillId="0" borderId="0" xfId="0" applyNumberFormat="1" applyFont="1" applyBorder="1" applyAlignment="1">
      <alignment horizontal="center"/>
    </xf>
    <xf numFmtId="2" fontId="0" fillId="0" borderId="52" xfId="0" applyNumberFormat="1" applyBorder="1"/>
    <xf numFmtId="2" fontId="0" fillId="23" borderId="7" xfId="0" applyNumberFormat="1" applyFill="1" applyBorder="1" applyAlignment="1">
      <alignment horizontal="right"/>
    </xf>
    <xf numFmtId="164" fontId="0" fillId="30" borderId="54" xfId="0" applyNumberFormat="1" applyFill="1" applyBorder="1" applyAlignment="1"/>
    <xf numFmtId="164" fontId="0" fillId="30" borderId="52" xfId="0" applyNumberFormat="1" applyFill="1" applyBorder="1"/>
    <xf numFmtId="164" fontId="0" fillId="30" borderId="26" xfId="0" applyNumberFormat="1" applyFill="1" applyBorder="1"/>
    <xf numFmtId="168" fontId="0" fillId="34" borderId="0" xfId="0" applyNumberFormat="1" applyFill="1" applyBorder="1"/>
    <xf numFmtId="165" fontId="0" fillId="0" borderId="0" xfId="0" applyNumberFormat="1" applyFill="1" applyBorder="1" applyAlignment="1"/>
    <xf numFmtId="181" fontId="3" fillId="0" borderId="0" xfId="0" applyNumberFormat="1" applyFont="1" applyBorder="1" applyAlignment="1">
      <alignment horizontal="center"/>
    </xf>
    <xf numFmtId="0" fontId="0" fillId="14" borderId="28" xfId="1" applyNumberFormat="1" applyFont="1" applyFill="1" applyBorder="1" applyAlignment="1">
      <alignment horizontal="center"/>
    </xf>
    <xf numFmtId="0" fontId="3" fillId="0" borderId="0" xfId="0" applyFont="1" applyBorder="1" applyAlignment="1">
      <alignment horizontal="center"/>
    </xf>
    <xf numFmtId="165" fontId="0" fillId="0" borderId="3" xfId="0" applyNumberFormat="1" applyFill="1" applyBorder="1" applyAlignment="1"/>
    <xf numFmtId="164" fontId="0" fillId="0" borderId="7" xfId="0" applyNumberFormat="1" applyBorder="1"/>
    <xf numFmtId="0" fontId="7" fillId="0" borderId="7" xfId="0" applyFont="1" applyBorder="1"/>
    <xf numFmtId="6" fontId="0" fillId="0" borderId="7" xfId="0" applyNumberFormat="1" applyBorder="1" applyAlignment="1">
      <alignment horizontal="center"/>
    </xf>
    <xf numFmtId="181" fontId="3" fillId="0" borderId="4" xfId="0" applyNumberFormat="1" applyFont="1" applyBorder="1" applyAlignment="1">
      <alignment horizontal="center"/>
    </xf>
    <xf numFmtId="0" fontId="0" fillId="0" borderId="63" xfId="0" applyBorder="1"/>
    <xf numFmtId="6" fontId="0" fillId="14" borderId="28" xfId="1" applyNumberFormat="1" applyFont="1" applyFill="1" applyBorder="1" applyAlignment="1">
      <alignment horizontal="center"/>
    </xf>
    <xf numFmtId="0" fontId="0" fillId="0" borderId="7" xfId="0" applyBorder="1" applyAlignment="1">
      <alignment horizontal="center"/>
    </xf>
    <xf numFmtId="0" fontId="0" fillId="0" borderId="0" xfId="0" applyBorder="1" applyAlignment="1">
      <alignment horizontal="center"/>
    </xf>
    <xf numFmtId="0" fontId="0" fillId="0" borderId="23" xfId="0" applyBorder="1" applyAlignment="1">
      <alignment horizontal="center"/>
    </xf>
    <xf numFmtId="0" fontId="0" fillId="0" borderId="12" xfId="0" applyBorder="1" applyAlignment="1">
      <alignment horizontal="center"/>
    </xf>
    <xf numFmtId="0" fontId="0" fillId="0" borderId="19" xfId="0" applyBorder="1" applyAlignment="1">
      <alignment horizontal="center"/>
    </xf>
    <xf numFmtId="10" fontId="0" fillId="0" borderId="0" xfId="0" applyNumberFormat="1" applyBorder="1" applyAlignment="1">
      <alignment horizontal="right"/>
    </xf>
    <xf numFmtId="182" fontId="0" fillId="0" borderId="0" xfId="0" applyNumberFormat="1" applyBorder="1"/>
    <xf numFmtId="0" fontId="0" fillId="0" borderId="0" xfId="0" applyBorder="1" applyAlignment="1">
      <alignment horizontal="center"/>
    </xf>
    <xf numFmtId="0" fontId="1" fillId="0" borderId="10" xfId="0" applyFont="1" applyBorder="1"/>
    <xf numFmtId="0" fontId="1" fillId="0" borderId="1" xfId="0" applyFont="1" applyBorder="1"/>
    <xf numFmtId="0" fontId="3" fillId="0" borderId="21" xfId="0" applyFont="1" applyBorder="1"/>
    <xf numFmtId="2" fontId="3" fillId="0" borderId="52" xfId="0" applyNumberFormat="1" applyFont="1" applyBorder="1" applyAlignment="1">
      <alignment horizontal="left"/>
    </xf>
    <xf numFmtId="2" fontId="3" fillId="0" borderId="0" xfId="0" applyNumberFormat="1" applyFont="1" applyBorder="1" applyAlignment="1">
      <alignment horizontal="center"/>
    </xf>
    <xf numFmtId="2" fontId="3" fillId="0" borderId="22" xfId="0" applyNumberFormat="1" applyFont="1" applyBorder="1" applyAlignment="1">
      <alignment horizontal="center"/>
    </xf>
    <xf numFmtId="0" fontId="31" fillId="0" borderId="18" xfId="0" applyFont="1" applyBorder="1"/>
    <xf numFmtId="166" fontId="31" fillId="15" borderId="89" xfId="0" applyNumberFormat="1" applyFont="1" applyFill="1" applyBorder="1" applyAlignment="1">
      <alignment horizontal="center"/>
    </xf>
    <xf numFmtId="166" fontId="31" fillId="15" borderId="87" xfId="0" applyNumberFormat="1" applyFont="1" applyFill="1" applyBorder="1" applyAlignment="1">
      <alignment horizontal="center"/>
    </xf>
    <xf numFmtId="0" fontId="0" fillId="0" borderId="64" xfId="0" applyBorder="1"/>
    <xf numFmtId="0" fontId="32" fillId="0" borderId="0" xfId="0" applyFont="1" applyBorder="1"/>
    <xf numFmtId="0" fontId="1" fillId="0" borderId="21" xfId="0" applyFont="1" applyBorder="1"/>
    <xf numFmtId="2" fontId="31" fillId="26" borderId="52" xfId="0" applyNumberFormat="1" applyFont="1" applyFill="1" applyBorder="1" applyAlignment="1">
      <alignment horizontal="center"/>
    </xf>
    <xf numFmtId="10" fontId="0" fillId="0" borderId="22" xfId="0" applyNumberFormat="1" applyBorder="1" applyAlignment="1">
      <alignment horizontal="center"/>
    </xf>
    <xf numFmtId="166" fontId="0" fillId="15" borderId="52" xfId="1" applyNumberFormat="1" applyFont="1" applyFill="1" applyBorder="1" applyAlignment="1">
      <alignment horizontal="center"/>
    </xf>
    <xf numFmtId="0" fontId="3" fillId="0" borderId="0" xfId="0" applyFont="1" applyBorder="1"/>
    <xf numFmtId="0" fontId="3" fillId="0" borderId="22" xfId="0" applyFont="1" applyBorder="1" applyAlignment="1">
      <alignment horizontal="center"/>
    </xf>
    <xf numFmtId="166" fontId="0" fillId="0" borderId="6" xfId="0" applyNumberFormat="1" applyBorder="1"/>
    <xf numFmtId="0" fontId="3" fillId="0" borderId="52" xfId="0" applyFont="1" applyBorder="1"/>
    <xf numFmtId="0" fontId="3" fillId="0" borderId="24" xfId="0" applyFont="1" applyBorder="1"/>
    <xf numFmtId="0" fontId="3" fillId="0" borderId="22" xfId="0" applyFont="1" applyBorder="1"/>
    <xf numFmtId="0" fontId="31" fillId="0" borderId="21" xfId="0" applyFont="1" applyBorder="1"/>
    <xf numFmtId="166" fontId="31" fillId="35" borderId="52" xfId="0" applyNumberFormat="1" applyFont="1" applyFill="1" applyBorder="1" applyAlignment="1">
      <alignment horizontal="center"/>
    </xf>
    <xf numFmtId="166" fontId="31" fillId="35" borderId="85" xfId="0" applyNumberFormat="1" applyFont="1" applyFill="1" applyBorder="1" applyAlignment="1">
      <alignment horizontal="center"/>
    </xf>
    <xf numFmtId="16" fontId="0" fillId="0" borderId="23" xfId="0" quotePrefix="1" applyNumberFormat="1" applyBorder="1" applyAlignment="1">
      <alignment horizontal="center"/>
    </xf>
    <xf numFmtId="0" fontId="1" fillId="0" borderId="10" xfId="0" applyFont="1" applyFill="1" applyBorder="1" applyAlignment="1">
      <alignment horizontal="left"/>
    </xf>
    <xf numFmtId="0" fontId="0" fillId="0" borderId="90" xfId="0" applyBorder="1" applyAlignment="1">
      <alignment horizontal="center"/>
    </xf>
    <xf numFmtId="0" fontId="0" fillId="0" borderId="29" xfId="0" applyBorder="1" applyAlignment="1">
      <alignment horizontal="center"/>
    </xf>
    <xf numFmtId="0" fontId="0" fillId="0" borderId="15" xfId="0" applyFill="1" applyBorder="1" applyAlignment="1">
      <alignment horizontal="center"/>
    </xf>
    <xf numFmtId="0" fontId="0" fillId="0" borderId="15" xfId="0" applyBorder="1"/>
    <xf numFmtId="164" fontId="0" fillId="0" borderId="9" xfId="0" applyNumberFormat="1" applyBorder="1" applyAlignment="1">
      <alignment horizontal="center"/>
    </xf>
    <xf numFmtId="164" fontId="0" fillId="0" borderId="2" xfId="0" applyNumberFormat="1" applyBorder="1" applyAlignment="1">
      <alignment horizontal="center"/>
    </xf>
    <xf numFmtId="0" fontId="0" fillId="2" borderId="17" xfId="0" applyFill="1" applyBorder="1" applyAlignment="1">
      <alignment horizontal="center"/>
    </xf>
    <xf numFmtId="180" fontId="0" fillId="2" borderId="17" xfId="0" applyNumberFormat="1" applyFill="1" applyBorder="1" applyAlignment="1">
      <alignment horizontal="center"/>
    </xf>
    <xf numFmtId="164" fontId="0" fillId="0" borderId="6" xfId="0" applyNumberFormat="1" applyBorder="1" applyAlignment="1">
      <alignment horizontal="center"/>
    </xf>
    <xf numFmtId="0" fontId="0" fillId="0" borderId="0" xfId="0" quotePrefix="1" applyBorder="1"/>
    <xf numFmtId="0" fontId="0" fillId="0" borderId="3" xfId="0" applyBorder="1" applyAlignment="1">
      <alignment horizontal="center"/>
    </xf>
    <xf numFmtId="164" fontId="0" fillId="0" borderId="4" xfId="0" applyNumberFormat="1" applyBorder="1" applyAlignment="1">
      <alignment horizontal="center"/>
    </xf>
    <xf numFmtId="0" fontId="0" fillId="0" borderId="5" xfId="0" applyBorder="1" applyAlignment="1">
      <alignment horizontal="center"/>
    </xf>
    <xf numFmtId="9" fontId="0" fillId="0" borderId="23" xfId="0" applyNumberFormat="1" applyBorder="1"/>
    <xf numFmtId="165" fontId="0" fillId="0" borderId="21" xfId="0" applyNumberFormat="1" applyBorder="1"/>
    <xf numFmtId="180" fontId="0" fillId="5" borderId="52" xfId="0" applyNumberFormat="1" applyFill="1" applyBorder="1" applyAlignment="1">
      <alignment horizontal="center"/>
    </xf>
    <xf numFmtId="180" fontId="0" fillId="0" borderId="0" xfId="0" applyNumberFormat="1" applyBorder="1" applyAlignment="1">
      <alignment horizontal="center"/>
    </xf>
    <xf numFmtId="166" fontId="0" fillId="28" borderId="52" xfId="0" applyNumberFormat="1" applyFill="1" applyBorder="1"/>
    <xf numFmtId="0" fontId="0" fillId="0" borderId="91" xfId="0" applyBorder="1"/>
    <xf numFmtId="9" fontId="0" fillId="0" borderId="52" xfId="0" applyNumberFormat="1" applyBorder="1"/>
    <xf numFmtId="0" fontId="0" fillId="0" borderId="0" xfId="0" quotePrefix="1" applyBorder="1" applyAlignment="1">
      <alignment horizontal="center" wrapText="1"/>
    </xf>
    <xf numFmtId="175" fontId="0" fillId="0" borderId="18" xfId="0" applyNumberFormat="1" applyBorder="1"/>
    <xf numFmtId="175" fontId="0" fillId="0" borderId="23" xfId="0" applyNumberFormat="1" applyBorder="1"/>
    <xf numFmtId="166" fontId="3" fillId="0" borderId="24" xfId="0" applyNumberFormat="1" applyFont="1" applyBorder="1"/>
    <xf numFmtId="0" fontId="0" fillId="0" borderId="63" xfId="0" applyBorder="1" applyAlignment="1">
      <alignment horizontal="center"/>
    </xf>
    <xf numFmtId="0" fontId="0" fillId="0" borderId="54" xfId="0" applyBorder="1" applyAlignment="1">
      <alignment horizontal="center"/>
    </xf>
    <xf numFmtId="0" fontId="0" fillId="0" borderId="64" xfId="0" applyBorder="1" applyAlignment="1">
      <alignment horizontal="center"/>
    </xf>
    <xf numFmtId="0" fontId="0" fillId="0" borderId="0" xfId="0" applyBorder="1" applyAlignment="1">
      <alignment horizontal="center"/>
    </xf>
    <xf numFmtId="2" fontId="0" fillId="14" borderId="0" xfId="0" applyNumberFormat="1" applyFill="1" applyBorder="1" applyAlignment="1">
      <alignment horizontal="center"/>
    </xf>
    <xf numFmtId="2" fontId="0" fillId="14" borderId="6" xfId="0" applyNumberFormat="1" applyFill="1" applyBorder="1" applyAlignment="1">
      <alignment horizontal="center"/>
    </xf>
    <xf numFmtId="2" fontId="0" fillId="14" borderId="92" xfId="0" applyNumberFormat="1" applyFill="1" applyBorder="1" applyAlignment="1">
      <alignment horizontal="center"/>
    </xf>
    <xf numFmtId="2" fontId="0" fillId="14" borderId="14" xfId="0" applyNumberFormat="1" applyFill="1" applyBorder="1" applyAlignment="1">
      <alignment horizontal="center"/>
    </xf>
    <xf numFmtId="2" fontId="0" fillId="14" borderId="49" xfId="0" applyNumberFormat="1" applyFill="1" applyBorder="1" applyAlignment="1">
      <alignment horizontal="center"/>
    </xf>
    <xf numFmtId="2" fontId="0" fillId="14" borderId="58" xfId="0" applyNumberFormat="1" applyFill="1" applyBorder="1" applyAlignment="1">
      <alignment horizontal="center"/>
    </xf>
    <xf numFmtId="2" fontId="0" fillId="14" borderId="8" xfId="0" applyNumberFormat="1" applyFill="1" applyBorder="1" applyAlignment="1">
      <alignment horizontal="center"/>
    </xf>
    <xf numFmtId="2" fontId="0" fillId="14" borderId="23" xfId="0" applyNumberFormat="1" applyFill="1" applyBorder="1" applyAlignment="1">
      <alignment horizontal="center"/>
    </xf>
    <xf numFmtId="2" fontId="0" fillId="22" borderId="5" xfId="0" applyNumberFormat="1" applyFill="1" applyBorder="1" applyAlignment="1">
      <alignment horizontal="center"/>
    </xf>
    <xf numFmtId="2" fontId="0" fillId="22" borderId="93" xfId="0" applyNumberFormat="1" applyFill="1" applyBorder="1" applyAlignment="1">
      <alignment horizontal="center"/>
    </xf>
    <xf numFmtId="2" fontId="0" fillId="22" borderId="13" xfId="0" applyNumberFormat="1" applyFill="1" applyBorder="1" applyAlignment="1">
      <alignment horizontal="center"/>
    </xf>
    <xf numFmtId="2" fontId="0" fillId="22" borderId="38" xfId="0" applyNumberFormat="1" applyFill="1" applyBorder="1" applyAlignment="1">
      <alignment horizontal="center"/>
    </xf>
    <xf numFmtId="0" fontId="0" fillId="0" borderId="29" xfId="0" applyBorder="1"/>
    <xf numFmtId="0" fontId="16" fillId="20" borderId="11" xfId="0" applyFont="1" applyFill="1" applyBorder="1" applyAlignment="1">
      <alignment horizontal="center"/>
    </xf>
    <xf numFmtId="166" fontId="0" fillId="0" borderId="0" xfId="0" applyNumberFormat="1" applyAlignment="1"/>
    <xf numFmtId="0" fontId="22" fillId="0" borderId="0" xfId="0" applyFont="1" applyAlignment="1"/>
    <xf numFmtId="0" fontId="33" fillId="0" borderId="0" xfId="0" applyFont="1" applyAlignment="1"/>
    <xf numFmtId="166" fontId="0" fillId="0" borderId="0" xfId="0" applyNumberFormat="1" applyAlignment="1">
      <alignment horizontal="center"/>
    </xf>
    <xf numFmtId="168" fontId="0" fillId="0" borderId="0" xfId="0" applyNumberFormat="1" applyAlignment="1">
      <alignment horizontal="center"/>
    </xf>
    <xf numFmtId="175" fontId="0" fillId="0" borderId="0" xfId="0" applyNumberFormat="1" applyFill="1" applyBorder="1" applyAlignment="1">
      <alignment horizontal="right"/>
    </xf>
    <xf numFmtId="178" fontId="0" fillId="0" borderId="0" xfId="0" applyNumberFormat="1" applyFill="1" applyBorder="1" applyAlignment="1">
      <alignment horizontal="center"/>
    </xf>
    <xf numFmtId="166" fontId="0" fillId="0" borderId="6" xfId="0" applyNumberFormat="1" applyBorder="1" applyAlignment="1">
      <alignment horizontal="center"/>
    </xf>
    <xf numFmtId="183" fontId="0" fillId="0" borderId="0" xfId="1" applyNumberFormat="1" applyFont="1" applyFill="1" applyBorder="1" applyAlignment="1">
      <alignment horizontal="center"/>
    </xf>
    <xf numFmtId="164" fontId="0" fillId="0" borderId="0" xfId="0" applyNumberFormat="1" applyAlignment="1">
      <alignment horizontal="center"/>
    </xf>
    <xf numFmtId="166" fontId="0" fillId="0" borderId="0" xfId="0" applyNumberFormat="1" applyFill="1" applyBorder="1" applyAlignment="1">
      <alignment horizontal="center"/>
    </xf>
    <xf numFmtId="0" fontId="0" fillId="13" borderId="0" xfId="0" applyFill="1" applyBorder="1" applyAlignment="1">
      <alignment horizontal="center"/>
    </xf>
    <xf numFmtId="164" fontId="0" fillId="7" borderId="17" xfId="0" applyNumberFormat="1" applyFill="1" applyBorder="1"/>
    <xf numFmtId="168" fontId="0" fillId="0" borderId="0" xfId="0" applyNumberFormat="1" applyFill="1" applyBorder="1" applyAlignment="1">
      <alignment horizontal="center"/>
    </xf>
    <xf numFmtId="0" fontId="0" fillId="0" borderId="0" xfId="0" applyFill="1" applyBorder="1" applyAlignment="1">
      <alignment horizontal="center"/>
    </xf>
    <xf numFmtId="184" fontId="0" fillId="0" borderId="0" xfId="0" applyNumberFormat="1" applyFill="1" applyBorder="1"/>
    <xf numFmtId="0" fontId="0" fillId="0" borderId="0" xfId="0" applyBorder="1" applyAlignment="1">
      <alignment horizontal="center"/>
    </xf>
    <xf numFmtId="0" fontId="0" fillId="0" borderId="4" xfId="0" applyBorder="1" applyAlignment="1">
      <alignment horizontal="center"/>
    </xf>
    <xf numFmtId="2" fontId="0" fillId="0" borderId="3" xfId="0" applyNumberFormat="1" applyBorder="1" applyAlignment="1">
      <alignment horizontal="center"/>
    </xf>
    <xf numFmtId="4" fontId="0" fillId="0" borderId="0" xfId="1" applyNumberFormat="1" applyFont="1" applyBorder="1" applyAlignment="1">
      <alignment horizontal="center"/>
    </xf>
    <xf numFmtId="0" fontId="0" fillId="0" borderId="0" xfId="0" applyNumberFormat="1" applyBorder="1"/>
    <xf numFmtId="9" fontId="0" fillId="0" borderId="64" xfId="0" applyNumberFormat="1" applyBorder="1" applyAlignment="1">
      <alignment horizontal="center"/>
    </xf>
    <xf numFmtId="0" fontId="0" fillId="0" borderId="64" xfId="0" applyFill="1" applyBorder="1" applyAlignment="1">
      <alignment horizontal="center"/>
    </xf>
    <xf numFmtId="178" fontId="0" fillId="0" borderId="54" xfId="0" applyNumberFormat="1" applyFill="1" applyBorder="1" applyAlignment="1">
      <alignment horizontal="center"/>
    </xf>
    <xf numFmtId="4" fontId="0" fillId="0" borderId="0" xfId="1" applyNumberFormat="1" applyFont="1" applyBorder="1" applyAlignment="1">
      <alignment horizontal="left"/>
    </xf>
    <xf numFmtId="2" fontId="0" fillId="36" borderId="6" xfId="0" applyNumberFormat="1" applyFill="1" applyBorder="1" applyAlignment="1">
      <alignment horizontal="center"/>
    </xf>
    <xf numFmtId="2" fontId="0" fillId="37" borderId="6" xfId="0" applyNumberFormat="1" applyFill="1" applyBorder="1" applyAlignment="1">
      <alignment horizontal="center"/>
    </xf>
    <xf numFmtId="2" fontId="0" fillId="38" borderId="4" xfId="0" applyNumberFormat="1" applyFill="1" applyBorder="1" applyAlignment="1">
      <alignment horizontal="center"/>
    </xf>
    <xf numFmtId="2" fontId="0" fillId="39" borderId="0" xfId="0" applyNumberFormat="1" applyFill="1" applyAlignment="1">
      <alignment horizontal="center"/>
    </xf>
    <xf numFmtId="166" fontId="0" fillId="39" borderId="6" xfId="0" applyNumberFormat="1" applyFill="1" applyBorder="1" applyAlignment="1">
      <alignment horizontal="center"/>
    </xf>
    <xf numFmtId="166" fontId="0" fillId="29" borderId="0" xfId="0" applyNumberFormat="1" applyFill="1" applyAlignment="1">
      <alignment horizontal="center"/>
    </xf>
    <xf numFmtId="167" fontId="0" fillId="23" borderId="24" xfId="0" applyNumberFormat="1" applyFill="1" applyBorder="1" applyAlignment="1">
      <alignment horizontal="center"/>
    </xf>
    <xf numFmtId="168" fontId="0" fillId="0" borderId="26" xfId="0" applyNumberFormat="1" applyBorder="1" applyAlignment="1">
      <alignment horizontal="center"/>
    </xf>
    <xf numFmtId="167" fontId="0" fillId="0" borderId="24" xfId="0" applyNumberFormat="1" applyFill="1" applyBorder="1" applyAlignment="1">
      <alignment horizontal="center"/>
    </xf>
    <xf numFmtId="2" fontId="0" fillId="39" borderId="6" xfId="0" applyNumberFormat="1" applyFill="1" applyBorder="1" applyAlignment="1">
      <alignment horizontal="center"/>
    </xf>
    <xf numFmtId="2" fontId="0" fillId="38" borderId="6" xfId="0" applyNumberFormat="1" applyFill="1" applyBorder="1" applyAlignment="1">
      <alignment horizontal="center"/>
    </xf>
    <xf numFmtId="2" fontId="0" fillId="8" borderId="6" xfId="0" applyNumberFormat="1" applyFill="1" applyBorder="1" applyAlignment="1">
      <alignment horizontal="center"/>
    </xf>
    <xf numFmtId="0" fontId="0" fillId="0" borderId="0" xfId="0" quotePrefix="1" applyAlignment="1"/>
    <xf numFmtId="0" fontId="0" fillId="2" borderId="8" xfId="0" applyFill="1" applyBorder="1" applyAlignment="1">
      <alignment horizontal="center"/>
    </xf>
    <xf numFmtId="2" fontId="0" fillId="2" borderId="7" xfId="1" applyNumberFormat="1" applyFont="1" applyFill="1" applyBorder="1" applyAlignment="1">
      <alignment horizontal="center"/>
    </xf>
    <xf numFmtId="2" fontId="0" fillId="2" borderId="0" xfId="1" applyNumberFormat="1" applyFont="1" applyFill="1" applyBorder="1" applyAlignment="1">
      <alignment horizontal="center"/>
    </xf>
    <xf numFmtId="2" fontId="0" fillId="2" borderId="8" xfId="1" applyNumberFormat="1" applyFont="1" applyFill="1" applyBorder="1" applyAlignment="1">
      <alignment horizontal="center"/>
    </xf>
    <xf numFmtId="2" fontId="0" fillId="2" borderId="23" xfId="1" applyNumberFormat="1" applyFont="1" applyFill="1" applyBorder="1" applyAlignment="1">
      <alignment horizontal="center"/>
    </xf>
    <xf numFmtId="2" fontId="0" fillId="15" borderId="8" xfId="1" applyNumberFormat="1" applyFont="1" applyFill="1" applyBorder="1" applyAlignment="1">
      <alignment horizontal="center"/>
    </xf>
    <xf numFmtId="2" fontId="0" fillId="14" borderId="0" xfId="1" applyNumberFormat="1" applyFont="1" applyFill="1" applyBorder="1" applyAlignment="1">
      <alignment horizontal="center"/>
    </xf>
    <xf numFmtId="2" fontId="0" fillId="14" borderId="8" xfId="1" applyNumberFormat="1" applyFont="1" applyFill="1" applyBorder="1" applyAlignment="1">
      <alignment horizontal="center"/>
    </xf>
    <xf numFmtId="2" fontId="0" fillId="14" borderId="23" xfId="1" applyNumberFormat="1" applyFont="1" applyFill="1" applyBorder="1" applyAlignment="1">
      <alignment horizontal="center"/>
    </xf>
    <xf numFmtId="2" fontId="0" fillId="13" borderId="7" xfId="1" applyNumberFormat="1" applyFont="1" applyFill="1" applyBorder="1" applyAlignment="1">
      <alignment horizontal="center"/>
    </xf>
    <xf numFmtId="2" fontId="0" fillId="13" borderId="0" xfId="1" applyNumberFormat="1" applyFont="1" applyFill="1" applyBorder="1" applyAlignment="1">
      <alignment horizontal="center"/>
    </xf>
    <xf numFmtId="2" fontId="0" fillId="13" borderId="8" xfId="1" applyNumberFormat="1" applyFont="1" applyFill="1" applyBorder="1" applyAlignment="1">
      <alignment horizontal="center"/>
    </xf>
    <xf numFmtId="2" fontId="0" fillId="13" borderId="23" xfId="1" applyNumberFormat="1" applyFont="1" applyFill="1" applyBorder="1" applyAlignment="1">
      <alignment horizontal="center"/>
    </xf>
    <xf numFmtId="0" fontId="0" fillId="15" borderId="14" xfId="0" applyFill="1" applyBorder="1" applyAlignment="1">
      <alignment horizontal="center"/>
    </xf>
    <xf numFmtId="2" fontId="0" fillId="15" borderId="4" xfId="1" applyNumberFormat="1" applyFont="1" applyFill="1" applyBorder="1" applyAlignment="1">
      <alignment horizontal="center"/>
    </xf>
    <xf numFmtId="2" fontId="0" fillId="15" borderId="6" xfId="1" applyNumberFormat="1" applyFont="1" applyFill="1" applyBorder="1" applyAlignment="1">
      <alignment horizontal="center"/>
    </xf>
    <xf numFmtId="2" fontId="0" fillId="15" borderId="19" xfId="1" applyNumberFormat="1" applyFont="1" applyFill="1" applyBorder="1" applyAlignment="1">
      <alignment horizontal="center"/>
    </xf>
    <xf numFmtId="0" fontId="0" fillId="26" borderId="13" xfId="0" quotePrefix="1" applyFill="1" applyBorder="1" applyAlignment="1">
      <alignment horizontal="center"/>
    </xf>
    <xf numFmtId="2" fontId="0" fillId="26" borderId="3" xfId="1" applyNumberFormat="1" applyFont="1" applyFill="1" applyBorder="1" applyAlignment="1">
      <alignment horizontal="center"/>
    </xf>
    <xf numFmtId="2" fontId="0" fillId="26" borderId="5" xfId="1" applyNumberFormat="1" applyFont="1" applyFill="1" applyBorder="1" applyAlignment="1">
      <alignment horizontal="center"/>
    </xf>
    <xf numFmtId="2" fontId="0" fillId="26" borderId="13" xfId="1" applyNumberFormat="1" applyFont="1" applyFill="1" applyBorder="1" applyAlignment="1">
      <alignment horizontal="center"/>
    </xf>
    <xf numFmtId="2" fontId="0" fillId="26" borderId="18" xfId="1" applyNumberFormat="1" applyFont="1" applyFill="1" applyBorder="1" applyAlignment="1">
      <alignment horizontal="center"/>
    </xf>
    <xf numFmtId="0" fontId="3" fillId="8" borderId="63" xfId="0" applyFont="1" applyFill="1" applyBorder="1" applyAlignment="1">
      <alignment horizontal="left" vertical="center"/>
    </xf>
    <xf numFmtId="0" fontId="3" fillId="8" borderId="54" xfId="0" applyFont="1" applyFill="1" applyBorder="1" applyAlignment="1">
      <alignment horizontal="left" vertical="center"/>
    </xf>
    <xf numFmtId="0" fontId="0" fillId="13" borderId="20" xfId="0" applyFill="1" applyBorder="1" applyAlignment="1">
      <alignment horizontal="center"/>
    </xf>
    <xf numFmtId="2" fontId="0" fillId="14" borderId="4" xfId="1" applyNumberFormat="1" applyFont="1" applyFill="1" applyBorder="1" applyAlignment="1">
      <alignment horizontal="center"/>
    </xf>
    <xf numFmtId="2" fontId="0" fillId="14" borderId="39" xfId="1" applyNumberFormat="1" applyFont="1" applyFill="1" applyBorder="1" applyAlignment="1">
      <alignment horizontal="center"/>
    </xf>
    <xf numFmtId="2" fontId="0" fillId="14" borderId="6" xfId="1" applyNumberFormat="1" applyFont="1" applyFill="1" applyBorder="1" applyAlignment="1">
      <alignment horizontal="center"/>
    </xf>
    <xf numFmtId="2" fontId="0" fillId="13" borderId="13" xfId="1" applyNumberFormat="1" applyFont="1" applyFill="1" applyBorder="1" applyAlignment="1">
      <alignment horizontal="center"/>
    </xf>
    <xf numFmtId="2" fontId="0" fillId="14" borderId="14" xfId="1" applyNumberFormat="1" applyFont="1" applyFill="1" applyBorder="1" applyAlignment="1">
      <alignment horizontal="center"/>
    </xf>
    <xf numFmtId="2" fontId="0" fillId="13" borderId="18" xfId="1" applyNumberFormat="1" applyFont="1" applyFill="1" applyBorder="1" applyAlignment="1">
      <alignment horizontal="center"/>
    </xf>
    <xf numFmtId="2" fontId="0" fillId="14" borderId="49" xfId="1" applyNumberFormat="1" applyFont="1" applyFill="1" applyBorder="1" applyAlignment="1">
      <alignment horizontal="center"/>
    </xf>
    <xf numFmtId="171" fontId="0" fillId="0" borderId="0" xfId="0" applyNumberFormat="1" applyAlignment="1"/>
    <xf numFmtId="11" fontId="0" fillId="0" borderId="0" xfId="0" applyNumberFormat="1" applyAlignment="1"/>
    <xf numFmtId="166" fontId="0" fillId="21" borderId="30" xfId="1" applyNumberFormat="1" applyFont="1" applyFill="1" applyBorder="1" applyAlignment="1">
      <alignment horizontal="center"/>
    </xf>
    <xf numFmtId="166" fontId="0" fillId="21" borderId="31" xfId="1" applyNumberFormat="1" applyFont="1" applyFill="1"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94" xfId="0" applyBorder="1" applyAlignment="1"/>
    <xf numFmtId="0" fontId="0" fillId="0" borderId="0" xfId="0" applyAlignment="1">
      <alignment horizontal="left" vertical="center"/>
    </xf>
    <xf numFmtId="0" fontId="0" fillId="40" borderId="8" xfId="0" applyFill="1" applyBorder="1" applyAlignment="1">
      <alignment horizontal="center"/>
    </xf>
    <xf numFmtId="0" fontId="0" fillId="2" borderId="14" xfId="0" applyFill="1" applyBorder="1" applyAlignment="1">
      <alignment horizontal="center"/>
    </xf>
    <xf numFmtId="0" fontId="0" fillId="7" borderId="14" xfId="0" applyFill="1" applyBorder="1" applyAlignment="1">
      <alignment horizontal="center"/>
    </xf>
    <xf numFmtId="0" fontId="0" fillId="40" borderId="0" xfId="0" applyFill="1" applyBorder="1" applyAlignment="1">
      <alignment horizontal="center"/>
    </xf>
    <xf numFmtId="165" fontId="0" fillId="2" borderId="6" xfId="0" applyNumberFormat="1" applyFill="1" applyBorder="1" applyAlignment="1">
      <alignment horizontal="center"/>
    </xf>
    <xf numFmtId="171" fontId="0" fillId="7" borderId="4" xfId="0" applyNumberFormat="1" applyFill="1" applyBorder="1" applyAlignment="1">
      <alignment horizontal="center"/>
    </xf>
    <xf numFmtId="171" fontId="0" fillId="7" borderId="6" xfId="0" applyNumberFormat="1" applyFill="1" applyBorder="1" applyAlignment="1">
      <alignment horizontal="center"/>
    </xf>
    <xf numFmtId="166" fontId="0" fillId="3" borderId="23" xfId="1" applyNumberFormat="1" applyFont="1" applyFill="1" applyBorder="1" applyAlignment="1">
      <alignment horizontal="center"/>
    </xf>
    <xf numFmtId="165" fontId="0" fillId="2" borderId="14" xfId="0" applyNumberFormat="1" applyFill="1" applyBorder="1" applyAlignment="1">
      <alignment horizontal="center"/>
    </xf>
    <xf numFmtId="171" fontId="0" fillId="7" borderId="14" xfId="0" applyNumberFormat="1" applyFill="1" applyBorder="1" applyAlignment="1">
      <alignment horizontal="center"/>
    </xf>
    <xf numFmtId="0" fontId="0" fillId="40" borderId="23" xfId="0" applyFill="1" applyBorder="1" applyAlignment="1">
      <alignment horizontal="center"/>
    </xf>
    <xf numFmtId="165" fontId="0" fillId="2" borderId="4" xfId="0" applyNumberFormat="1" applyFill="1" applyBorder="1" applyAlignment="1">
      <alignment horizontal="center"/>
    </xf>
    <xf numFmtId="166" fontId="0" fillId="21" borderId="33" xfId="1" applyNumberFormat="1" applyFont="1" applyFill="1" applyBorder="1" applyAlignment="1">
      <alignment horizontal="center"/>
    </xf>
    <xf numFmtId="166" fontId="0" fillId="40" borderId="0" xfId="1" applyNumberFormat="1" applyFont="1" applyFill="1" applyBorder="1" applyAlignment="1">
      <alignment horizontal="center"/>
    </xf>
    <xf numFmtId="6" fontId="0" fillId="0" borderId="0" xfId="0" applyNumberFormat="1" applyBorder="1"/>
    <xf numFmtId="6" fontId="0" fillId="0" borderId="0" xfId="0" applyNumberFormat="1" applyFill="1" applyBorder="1"/>
    <xf numFmtId="8" fontId="0" fillId="0" borderId="0" xfId="0" applyNumberFormat="1" applyBorder="1"/>
    <xf numFmtId="4" fontId="0" fillId="0" borderId="0" xfId="0" applyNumberFormat="1" applyBorder="1" applyAlignment="1">
      <alignment horizontal="center"/>
    </xf>
    <xf numFmtId="4" fontId="0" fillId="0" borderId="5" xfId="0" applyNumberFormat="1" applyBorder="1" applyAlignment="1">
      <alignment horizontal="center"/>
    </xf>
    <xf numFmtId="185" fontId="0" fillId="0" borderId="0" xfId="0" applyNumberFormat="1" applyBorder="1"/>
    <xf numFmtId="186" fontId="0" fillId="0" borderId="0" xfId="0" applyNumberFormat="1" applyBorder="1"/>
    <xf numFmtId="0" fontId="0" fillId="5" borderId="28" xfId="0" applyFill="1" applyBorder="1" applyAlignment="1">
      <alignment horizontal="center"/>
    </xf>
    <xf numFmtId="8" fontId="0" fillId="0" borderId="9" xfId="0" applyNumberFormat="1" applyBorder="1"/>
    <xf numFmtId="10" fontId="0" fillId="0" borderId="6" xfId="1" applyNumberFormat="1" applyFont="1" applyBorder="1" applyAlignment="1">
      <alignment horizontal="center"/>
    </xf>
    <xf numFmtId="166" fontId="0" fillId="21" borderId="30" xfId="1" applyNumberFormat="1" applyFont="1" applyFill="1" applyBorder="1" applyAlignment="1">
      <alignment horizontal="center"/>
    </xf>
    <xf numFmtId="166" fontId="0" fillId="21" borderId="31" xfId="1" applyNumberFormat="1" applyFont="1" applyFill="1"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168" fontId="0" fillId="0" borderId="0" xfId="0" applyNumberFormat="1" applyFill="1" applyBorder="1"/>
    <xf numFmtId="0" fontId="0" fillId="0" borderId="96" xfId="0" applyBorder="1" applyAlignment="1">
      <alignment horizontal="center"/>
    </xf>
    <xf numFmtId="0" fontId="0" fillId="0" borderId="96" xfId="0" applyBorder="1"/>
    <xf numFmtId="0" fontId="34" fillId="0" borderId="95" xfId="0" applyFont="1" applyBorder="1" applyAlignment="1">
      <alignment horizontal="center"/>
    </xf>
    <xf numFmtId="0" fontId="9" fillId="0" borderId="97" xfId="0" applyFont="1" applyBorder="1" applyAlignment="1">
      <alignment horizontal="center" vertical="center"/>
    </xf>
    <xf numFmtId="0" fontId="0" fillId="0" borderId="98" xfId="0" applyBorder="1"/>
    <xf numFmtId="0" fontId="0" fillId="0" borderId="99" xfId="0" applyBorder="1"/>
    <xf numFmtId="0" fontId="0" fillId="0" borderId="100" xfId="0" applyBorder="1"/>
    <xf numFmtId="0" fontId="0" fillId="0" borderId="101" xfId="0" applyBorder="1"/>
    <xf numFmtId="0" fontId="0" fillId="0" borderId="102" xfId="0" applyBorder="1"/>
    <xf numFmtId="0" fontId="0" fillId="0" borderId="103" xfId="0" applyBorder="1" applyAlignment="1">
      <alignment horizontal="center"/>
    </xf>
    <xf numFmtId="0" fontId="0" fillId="0" borderId="103" xfId="0" applyBorder="1"/>
    <xf numFmtId="0" fontId="0" fillId="0" borderId="104" xfId="0" applyBorder="1"/>
    <xf numFmtId="0" fontId="0" fillId="0" borderId="105" xfId="0" applyBorder="1"/>
    <xf numFmtId="0" fontId="0" fillId="0" borderId="106" xfId="0" applyBorder="1"/>
    <xf numFmtId="0" fontId="0" fillId="0" borderId="107" xfId="0" applyBorder="1"/>
    <xf numFmtId="0" fontId="0" fillId="0" borderId="111" xfId="0" applyBorder="1"/>
    <xf numFmtId="0" fontId="0" fillId="0" borderId="112" xfId="0" applyFill="1" applyBorder="1"/>
    <xf numFmtId="0" fontId="0" fillId="0" borderId="113" xfId="0" applyBorder="1"/>
    <xf numFmtId="9" fontId="0" fillId="0" borderId="114" xfId="1" applyNumberFormat="1" applyFont="1" applyBorder="1" applyAlignment="1"/>
    <xf numFmtId="0" fontId="0" fillId="0" borderId="11" xfId="0" applyFill="1" applyBorder="1" applyAlignment="1">
      <alignment horizontal="right"/>
    </xf>
    <xf numFmtId="0" fontId="0" fillId="0" borderId="29" xfId="0" applyFill="1" applyBorder="1" applyAlignment="1"/>
    <xf numFmtId="166" fontId="0" fillId="21" borderId="28" xfId="1" applyNumberFormat="1" applyFont="1" applyFill="1" applyBorder="1" applyAlignment="1">
      <alignment horizontal="right"/>
    </xf>
    <xf numFmtId="0" fontId="3" fillId="0" borderId="100" xfId="0" applyFont="1" applyBorder="1"/>
    <xf numFmtId="15" fontId="0" fillId="0" borderId="0" xfId="0" applyNumberFormat="1"/>
    <xf numFmtId="4" fontId="0" fillId="0" borderId="0" xfId="0" applyNumberFormat="1"/>
    <xf numFmtId="3" fontId="0" fillId="0" borderId="0" xfId="0" applyNumberFormat="1"/>
    <xf numFmtId="165" fontId="0" fillId="0" borderId="6" xfId="0" applyNumberFormat="1" applyBorder="1" applyAlignment="1">
      <alignment horizontal="center"/>
    </xf>
    <xf numFmtId="165" fontId="0" fillId="0" borderId="25" xfId="0" applyNumberFormat="1" applyBorder="1" applyAlignment="1">
      <alignment horizontal="center"/>
    </xf>
    <xf numFmtId="175" fontId="0" fillId="0" borderId="0" xfId="0" applyNumberFormat="1" applyBorder="1" applyAlignment="1">
      <alignment horizontal="center"/>
    </xf>
    <xf numFmtId="175" fontId="0" fillId="0" borderId="0" xfId="0" applyNumberFormat="1" applyBorder="1"/>
    <xf numFmtId="187" fontId="0" fillId="0" borderId="6" xfId="0" applyNumberFormat="1" applyBorder="1" applyAlignment="1">
      <alignment horizontal="center"/>
    </xf>
    <xf numFmtId="188" fontId="0" fillId="0" borderId="6" xfId="0" applyNumberFormat="1" applyBorder="1" applyAlignment="1">
      <alignment horizontal="center"/>
    </xf>
    <xf numFmtId="190" fontId="0" fillId="0" borderId="0" xfId="0" applyNumberFormat="1" applyBorder="1"/>
    <xf numFmtId="189" fontId="0" fillId="0" borderId="0" xfId="3" applyNumberFormat="1" applyFont="1"/>
    <xf numFmtId="189" fontId="0" fillId="0" borderId="0" xfId="0" applyNumberFormat="1" applyBorder="1" applyAlignment="1">
      <alignment horizontal="center"/>
    </xf>
    <xf numFmtId="4" fontId="0" fillId="0" borderId="6" xfId="0" applyNumberFormat="1" applyBorder="1" applyAlignment="1">
      <alignment horizontal="center"/>
    </xf>
    <xf numFmtId="170" fontId="0" fillId="0" borderId="9" xfId="0" applyNumberFormat="1" applyBorder="1" applyAlignment="1">
      <alignment horizontal="center"/>
    </xf>
    <xf numFmtId="189" fontId="0" fillId="0" borderId="9" xfId="0" applyNumberFormat="1" applyBorder="1" applyAlignment="1">
      <alignment horizontal="center"/>
    </xf>
    <xf numFmtId="170" fontId="0" fillId="0" borderId="7" xfId="0" applyNumberFormat="1" applyBorder="1" applyAlignment="1">
      <alignment horizontal="center"/>
    </xf>
    <xf numFmtId="189" fontId="0" fillId="0" borderId="7" xfId="0" applyNumberFormat="1" applyBorder="1" applyAlignment="1">
      <alignment horizontal="center"/>
    </xf>
    <xf numFmtId="188" fontId="0" fillId="0" borderId="0" xfId="0" applyNumberFormat="1" applyAlignment="1">
      <alignment horizontal="center"/>
    </xf>
    <xf numFmtId="191" fontId="0" fillId="42" borderId="9" xfId="0" applyNumberFormat="1" applyFill="1" applyBorder="1" applyAlignment="1">
      <alignment horizontal="center"/>
    </xf>
    <xf numFmtId="191" fontId="0" fillId="41" borderId="7" xfId="0" applyNumberFormat="1" applyFill="1" applyBorder="1" applyAlignment="1">
      <alignment horizontal="center"/>
    </xf>
    <xf numFmtId="191" fontId="0" fillId="41" borderId="9" xfId="0" applyNumberFormat="1" applyFill="1" applyBorder="1" applyAlignment="1">
      <alignment horizontal="center"/>
    </xf>
    <xf numFmtId="191" fontId="0" fillId="42" borderId="7" xfId="0" applyNumberFormat="1" applyFill="1" applyBorder="1" applyAlignment="1">
      <alignment horizontal="center"/>
    </xf>
    <xf numFmtId="11" fontId="0" fillId="0" borderId="9" xfId="0" applyNumberFormat="1" applyBorder="1" applyAlignment="1">
      <alignment horizontal="center"/>
    </xf>
    <xf numFmtId="11" fontId="0" fillId="0" borderId="7" xfId="0" applyNumberFormat="1" applyBorder="1" applyAlignment="1">
      <alignment horizontal="center"/>
    </xf>
    <xf numFmtId="191" fontId="0" fillId="0" borderId="6" xfId="0" applyNumberFormat="1" applyBorder="1" applyAlignment="1">
      <alignment horizontal="center"/>
    </xf>
    <xf numFmtId="192" fontId="0" fillId="41" borderId="9" xfId="0" applyNumberFormat="1" applyFill="1" applyBorder="1" applyAlignment="1">
      <alignment horizontal="center"/>
    </xf>
    <xf numFmtId="192" fontId="0" fillId="0" borderId="2" xfId="0" applyNumberFormat="1" applyBorder="1" applyAlignment="1">
      <alignment horizontal="center"/>
    </xf>
    <xf numFmtId="192" fontId="0" fillId="0" borderId="4" xfId="0" applyNumberFormat="1" applyBorder="1" applyAlignment="1">
      <alignment horizontal="center"/>
    </xf>
    <xf numFmtId="193" fontId="0" fillId="0" borderId="2" xfId="0" applyNumberFormat="1" applyBorder="1" applyAlignment="1">
      <alignment horizontal="center"/>
    </xf>
    <xf numFmtId="193" fontId="0" fillId="0" borderId="4" xfId="0" applyNumberFormat="1" applyBorder="1" applyAlignment="1">
      <alignment horizontal="center"/>
    </xf>
    <xf numFmtId="0" fontId="3" fillId="0" borderId="0" xfId="0" applyFont="1" applyAlignment="1">
      <alignment horizontal="center"/>
    </xf>
    <xf numFmtId="192" fontId="3" fillId="41" borderId="9" xfId="0" applyNumberFormat="1" applyFont="1" applyFill="1" applyBorder="1" applyAlignment="1">
      <alignment horizontal="center"/>
    </xf>
    <xf numFmtId="187" fontId="0" fillId="0" borderId="0" xfId="0" applyNumberFormat="1" applyAlignment="1">
      <alignment horizontal="center"/>
    </xf>
    <xf numFmtId="0" fontId="34" fillId="0" borderId="115" xfId="0" applyFont="1" applyBorder="1" applyAlignment="1">
      <alignment horizontal="center"/>
    </xf>
    <xf numFmtId="0" fontId="0" fillId="0" borderId="115" xfId="0" applyBorder="1" applyAlignment="1">
      <alignment horizontal="center"/>
    </xf>
    <xf numFmtId="0" fontId="0" fillId="0" borderId="115" xfId="0" applyBorder="1"/>
    <xf numFmtId="0" fontId="3" fillId="0" borderId="7" xfId="0" applyFont="1" applyBorder="1" applyAlignment="1">
      <alignment horizontal="center"/>
    </xf>
    <xf numFmtId="192" fontId="3" fillId="0" borderId="7" xfId="0" applyNumberFormat="1" applyFont="1" applyFill="1" applyBorder="1" applyAlignment="1">
      <alignment horizontal="center"/>
    </xf>
    <xf numFmtId="191" fontId="0" fillId="0" borderId="9" xfId="0" applyNumberFormat="1" applyFill="1" applyBorder="1" applyAlignment="1">
      <alignment horizontal="center"/>
    </xf>
    <xf numFmtId="192" fontId="0" fillId="0" borderId="7" xfId="0" applyNumberFormat="1" applyFill="1" applyBorder="1" applyAlignment="1">
      <alignment horizontal="center"/>
    </xf>
    <xf numFmtId="0" fontId="4" fillId="0" borderId="0" xfId="2"/>
    <xf numFmtId="0" fontId="3" fillId="8" borderId="12" xfId="0" applyFont="1" applyFill="1" applyBorder="1" applyAlignment="1">
      <alignment horizontal="center" vertical="center" wrapText="1"/>
    </xf>
    <xf numFmtId="9" fontId="0" fillId="0" borderId="0" xfId="1"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0" fillId="0" borderId="19" xfId="0" applyBorder="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52"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16" fontId="0" fillId="0" borderId="0" xfId="0" applyNumberFormat="1" applyAlignment="1">
      <alignment horizontal="right"/>
    </xf>
    <xf numFmtId="194" fontId="0" fillId="0" borderId="0" xfId="0" applyNumberFormat="1" applyAlignment="1">
      <alignment horizontal="right"/>
    </xf>
    <xf numFmtId="166" fontId="0" fillId="13" borderId="62" xfId="1" applyNumberFormat="1" applyFont="1" applyFill="1" applyBorder="1" applyAlignment="1">
      <alignment horizontal="center"/>
    </xf>
    <xf numFmtId="166" fontId="0" fillId="0" borderId="0" xfId="0" applyNumberFormat="1"/>
    <xf numFmtId="14" fontId="0" fillId="0" borderId="0" xfId="0" applyNumberFormat="1"/>
    <xf numFmtId="195" fontId="0" fillId="5" borderId="5" xfId="1" applyNumberFormat="1" applyFont="1" applyFill="1" applyBorder="1" applyAlignment="1">
      <alignment horizontal="center"/>
    </xf>
    <xf numFmtId="195" fontId="0" fillId="3" borderId="6" xfId="1" applyNumberFormat="1" applyFont="1" applyFill="1" applyBorder="1" applyAlignment="1">
      <alignment horizontal="center"/>
    </xf>
    <xf numFmtId="195" fontId="0" fillId="21" borderId="7" xfId="1" applyNumberFormat="1" applyFont="1" applyFill="1" applyBorder="1" applyAlignment="1">
      <alignment horizontal="center"/>
    </xf>
    <xf numFmtId="195" fontId="0" fillId="21" borderId="4" xfId="1" applyNumberFormat="1" applyFont="1" applyFill="1" applyBorder="1" applyAlignment="1">
      <alignment horizontal="center"/>
    </xf>
    <xf numFmtId="195" fontId="0" fillId="21" borderId="38" xfId="1" applyNumberFormat="1" applyFont="1" applyFill="1" applyBorder="1" applyAlignment="1">
      <alignment horizontal="center"/>
    </xf>
    <xf numFmtId="195" fontId="0" fillId="21" borderId="49" xfId="1" applyNumberFormat="1" applyFont="1" applyFill="1" applyBorder="1" applyAlignment="1">
      <alignment horizontal="center"/>
    </xf>
    <xf numFmtId="165" fontId="0" fillId="2" borderId="0" xfId="0" applyNumberFormat="1" applyFill="1" applyBorder="1" applyAlignment="1"/>
    <xf numFmtId="0" fontId="0" fillId="0" borderId="8" xfId="0" applyBorder="1" applyAlignment="1">
      <alignment horizontal="center"/>
    </xf>
    <xf numFmtId="0" fontId="37" fillId="0" borderId="1" xfId="0" applyFont="1" applyBorder="1"/>
    <xf numFmtId="0" fontId="37" fillId="0" borderId="9" xfId="0" applyFont="1" applyBorder="1"/>
    <xf numFmtId="0" fontId="37" fillId="0" borderId="2" xfId="0" applyFont="1" applyBorder="1"/>
    <xf numFmtId="0" fontId="37" fillId="0" borderId="5" xfId="0" applyFont="1" applyBorder="1"/>
    <xf numFmtId="0" fontId="37" fillId="0" borderId="0" xfId="0" applyFont="1" applyBorder="1"/>
    <xf numFmtId="0" fontId="37" fillId="0" borderId="6" xfId="0" applyFont="1" applyBorder="1"/>
    <xf numFmtId="14" fontId="37" fillId="0" borderId="5" xfId="0" applyNumberFormat="1" applyFont="1" applyBorder="1"/>
    <xf numFmtId="4" fontId="37" fillId="0" borderId="0" xfId="0" applyNumberFormat="1" applyFont="1" applyBorder="1"/>
    <xf numFmtId="11" fontId="37" fillId="0" borderId="0" xfId="0" applyNumberFormat="1" applyFont="1" applyBorder="1"/>
    <xf numFmtId="11" fontId="37" fillId="0" borderId="6" xfId="0" applyNumberFormat="1" applyFont="1" applyBorder="1"/>
    <xf numFmtId="172" fontId="37" fillId="0" borderId="5" xfId="0" applyNumberFormat="1" applyFont="1" applyBorder="1"/>
    <xf numFmtId="166" fontId="37" fillId="0" borderId="3" xfId="0" applyNumberFormat="1" applyFont="1" applyBorder="1"/>
    <xf numFmtId="0" fontId="37" fillId="0" borderId="7" xfId="0" applyFont="1" applyBorder="1"/>
    <xf numFmtId="11" fontId="37" fillId="0" borderId="4" xfId="0" applyNumberFormat="1" applyFont="1" applyBorder="1" applyAlignment="1"/>
    <xf numFmtId="14" fontId="0" fillId="0" borderId="0" xfId="0" applyNumberFormat="1" applyBorder="1" applyAlignment="1">
      <alignment horizontal="center"/>
    </xf>
    <xf numFmtId="170" fontId="0" fillId="41" borderId="0" xfId="0" applyNumberFormat="1" applyFill="1" applyBorder="1" applyAlignment="1">
      <alignment horizontal="center"/>
    </xf>
    <xf numFmtId="6" fontId="0" fillId="0" borderId="0" xfId="0" applyNumberFormat="1" applyAlignment="1"/>
    <xf numFmtId="6" fontId="0" fillId="0" borderId="0" xfId="0" applyNumberFormat="1" applyAlignment="1">
      <alignment horizontal="center"/>
    </xf>
    <xf numFmtId="197" fontId="0" fillId="0" borderId="0" xfId="0" applyNumberFormat="1" applyBorder="1" applyAlignment="1">
      <alignment horizontal="center"/>
    </xf>
    <xf numFmtId="197" fontId="0" fillId="0" borderId="8" xfId="0" applyNumberFormat="1" applyBorder="1" applyAlignment="1">
      <alignment horizontal="center"/>
    </xf>
    <xf numFmtId="179" fontId="0" fillId="0" borderId="0" xfId="0" applyNumberFormat="1" applyBorder="1" applyAlignment="1">
      <alignment horizontal="center"/>
    </xf>
    <xf numFmtId="2" fontId="0" fillId="0" borderId="0" xfId="0" applyNumberFormat="1" applyBorder="1" applyAlignment="1">
      <alignment horizontal="right"/>
    </xf>
    <xf numFmtId="0" fontId="38" fillId="0" borderId="0" xfId="0" applyFont="1" applyBorder="1" applyAlignment="1">
      <alignment horizontal="left"/>
    </xf>
    <xf numFmtId="2" fontId="38" fillId="0" borderId="0" xfId="0" applyNumberFormat="1" applyFont="1" applyBorder="1" applyAlignment="1">
      <alignment horizontal="right"/>
    </xf>
    <xf numFmtId="2" fontId="38" fillId="0" borderId="8" xfId="0" applyNumberFormat="1" applyFont="1" applyBorder="1" applyAlignment="1">
      <alignment horizontal="right"/>
    </xf>
    <xf numFmtId="2" fontId="0" fillId="0" borderId="8" xfId="0" applyNumberFormat="1" applyBorder="1"/>
    <xf numFmtId="0" fontId="0" fillId="0" borderId="11" xfId="0" applyBorder="1" applyAlignment="1">
      <alignment horizontal="left"/>
    </xf>
    <xf numFmtId="6" fontId="0" fillId="0" borderId="3" xfId="0" applyNumberFormat="1" applyBorder="1" applyAlignment="1">
      <alignment horizontal="center"/>
    </xf>
    <xf numFmtId="180" fontId="0" fillId="0" borderId="3" xfId="0" applyNumberFormat="1" applyBorder="1" applyAlignment="1">
      <alignment horizontal="center"/>
    </xf>
    <xf numFmtId="6" fontId="0" fillId="0" borderId="1" xfId="0" applyNumberFormat="1" applyBorder="1" applyAlignment="1"/>
    <xf numFmtId="196" fontId="0" fillId="0" borderId="3" xfId="0" applyNumberFormat="1" applyBorder="1" applyAlignment="1"/>
    <xf numFmtId="0" fontId="0" fillId="0" borderId="0" xfId="0" quotePrefix="1" applyFill="1" applyBorder="1" applyAlignment="1">
      <alignment horizontal="center"/>
    </xf>
    <xf numFmtId="199" fontId="0" fillId="0" borderId="0" xfId="0" applyNumberFormat="1" applyAlignment="1">
      <alignment horizontal="left"/>
    </xf>
    <xf numFmtId="15" fontId="0" fillId="0" borderId="0" xfId="0" applyNumberFormat="1" applyAlignment="1">
      <alignment horizontal="right"/>
    </xf>
    <xf numFmtId="14" fontId="0" fillId="18" borderId="0" xfId="0" applyNumberFormat="1" applyFill="1"/>
    <xf numFmtId="14" fontId="0" fillId="12" borderId="0" xfId="0" applyNumberFormat="1" applyFill="1"/>
    <xf numFmtId="2" fontId="37" fillId="0" borderId="5" xfId="0" applyNumberFormat="1" applyFont="1" applyBorder="1"/>
    <xf numFmtId="2" fontId="37" fillId="0" borderId="0" xfId="0" applyNumberFormat="1" applyFont="1" applyBorder="1"/>
    <xf numFmtId="2" fontId="37" fillId="0" borderId="6" xfId="0" applyNumberFormat="1" applyFont="1" applyBorder="1"/>
    <xf numFmtId="0" fontId="37" fillId="0" borderId="5" xfId="0" applyFont="1" applyBorder="1" applyAlignment="1"/>
    <xf numFmtId="0" fontId="37" fillId="0" borderId="0" xfId="0" applyFont="1" applyBorder="1" applyAlignment="1"/>
    <xf numFmtId="0" fontId="37" fillId="0" borderId="6" xfId="0" applyFont="1" applyFill="1" applyBorder="1" applyAlignment="1"/>
    <xf numFmtId="2" fontId="37" fillId="0" borderId="5" xfId="0" applyNumberFormat="1" applyFont="1" applyBorder="1" applyAlignment="1"/>
    <xf numFmtId="2" fontId="37" fillId="0" borderId="0" xfId="0" applyNumberFormat="1" applyFont="1" applyBorder="1" applyAlignment="1"/>
    <xf numFmtId="2" fontId="37" fillId="0" borderId="6" xfId="0" applyNumberFormat="1" applyFont="1" applyFill="1" applyBorder="1" applyAlignment="1"/>
    <xf numFmtId="0" fontId="37" fillId="0" borderId="3" xfId="0" applyFont="1" applyBorder="1"/>
    <xf numFmtId="0" fontId="37" fillId="0" borderId="4" xfId="0" applyFont="1" applyBorder="1"/>
    <xf numFmtId="168" fontId="37" fillId="0" borderId="52" xfId="0" applyNumberFormat="1" applyFont="1" applyBorder="1"/>
    <xf numFmtId="9" fontId="37" fillId="0" borderId="52" xfId="0" applyNumberFormat="1" applyFont="1" applyBorder="1"/>
    <xf numFmtId="15" fontId="0" fillId="0" borderId="0" xfId="0" applyNumberFormat="1" applyBorder="1"/>
    <xf numFmtId="0" fontId="0" fillId="0" borderId="116" xfId="0" applyBorder="1" applyAlignment="1"/>
    <xf numFmtId="0" fontId="31" fillId="0" borderId="0" xfId="0" applyFont="1"/>
    <xf numFmtId="174" fontId="37" fillId="0" borderId="10" xfId="0" applyNumberFormat="1" applyFont="1" applyBorder="1"/>
    <xf numFmtId="0" fontId="37" fillId="0" borderId="12" xfId="0" applyFont="1" applyFill="1" applyBorder="1"/>
    <xf numFmtId="0" fontId="37" fillId="0" borderId="21" xfId="0" applyFont="1" applyBorder="1"/>
    <xf numFmtId="0" fontId="37" fillId="0" borderId="22" xfId="0" applyFont="1" applyFill="1" applyBorder="1"/>
    <xf numFmtId="0" fontId="37" fillId="0" borderId="18" xfId="0" applyFont="1" applyBorder="1"/>
    <xf numFmtId="0" fontId="37" fillId="0" borderId="19" xfId="0" applyFont="1" applyBorder="1"/>
    <xf numFmtId="0" fontId="0" fillId="3" borderId="6" xfId="0" applyFill="1" applyBorder="1" applyAlignment="1">
      <alignment horizontal="center"/>
    </xf>
    <xf numFmtId="164" fontId="0" fillId="0" borderId="51" xfId="0" applyNumberFormat="1" applyBorder="1" applyAlignment="1">
      <alignment horizontal="center"/>
    </xf>
    <xf numFmtId="164" fontId="0" fillId="0" borderId="40" xfId="0" applyNumberFormat="1" applyBorder="1" applyAlignment="1">
      <alignment horizontal="center"/>
    </xf>
    <xf numFmtId="166" fontId="0" fillId="0" borderId="40" xfId="1" applyNumberFormat="1" applyFont="1" applyBorder="1" applyAlignment="1">
      <alignment horizontal="center"/>
    </xf>
    <xf numFmtId="166" fontId="0" fillId="0" borderId="50" xfId="1" applyNumberFormat="1" applyFont="1" applyBorder="1" applyAlignment="1">
      <alignment horizontal="center"/>
    </xf>
    <xf numFmtId="0" fontId="0" fillId="3" borderId="25" xfId="0" applyFill="1" applyBorder="1" applyAlignment="1">
      <alignment horizontal="center"/>
    </xf>
    <xf numFmtId="164" fontId="0" fillId="0" borderId="90" xfId="0" applyNumberFormat="1" applyBorder="1" applyAlignment="1">
      <alignment horizontal="center"/>
    </xf>
    <xf numFmtId="164" fontId="0" fillId="0" borderId="25" xfId="0" applyNumberFormat="1" applyBorder="1" applyAlignment="1">
      <alignment horizontal="center"/>
    </xf>
    <xf numFmtId="166" fontId="0" fillId="0" borderId="25" xfId="1" applyNumberFormat="1" applyFont="1" applyBorder="1" applyAlignment="1">
      <alignment horizontal="center"/>
    </xf>
    <xf numFmtId="166" fontId="0" fillId="0" borderId="65" xfId="1" applyNumberFormat="1" applyFont="1" applyBorder="1" applyAlignment="1">
      <alignment horizontal="center"/>
    </xf>
    <xf numFmtId="10" fontId="25" fillId="0" borderId="0" xfId="0" applyNumberFormat="1" applyFont="1" applyFill="1" applyBorder="1" applyAlignment="1"/>
    <xf numFmtId="10" fontId="25" fillId="0" borderId="0" xfId="0" applyNumberFormat="1" applyFont="1" applyBorder="1" applyAlignment="1"/>
    <xf numFmtId="167" fontId="0" fillId="0" borderId="7" xfId="0" applyNumberFormat="1" applyFill="1" applyBorder="1" applyAlignment="1">
      <alignment horizontal="center"/>
    </xf>
    <xf numFmtId="0" fontId="1" fillId="0" borderId="0" xfId="0" applyFont="1" applyFill="1" applyBorder="1" applyAlignment="1"/>
    <xf numFmtId="9" fontId="27" fillId="26" borderId="118" xfId="0" applyNumberFormat="1" applyFont="1" applyFill="1" applyBorder="1" applyAlignment="1">
      <alignment horizontal="center"/>
    </xf>
    <xf numFmtId="9" fontId="27" fillId="28" borderId="94" xfId="0" applyNumberFormat="1" applyFont="1" applyFill="1" applyBorder="1" applyAlignment="1">
      <alignment horizontal="center"/>
    </xf>
    <xf numFmtId="0" fontId="0" fillId="0" borderId="0" xfId="0" applyFont="1" applyFill="1" applyBorder="1" applyAlignment="1"/>
    <xf numFmtId="0" fontId="0" fillId="0" borderId="7" xfId="0" applyFill="1" applyBorder="1" applyAlignment="1">
      <alignment horizontal="right"/>
    </xf>
    <xf numFmtId="0" fontId="0" fillId="0" borderId="7" xfId="0" applyFont="1" applyFill="1" applyBorder="1" applyAlignment="1"/>
    <xf numFmtId="0" fontId="1" fillId="0" borderId="7" xfId="0" applyFont="1" applyFill="1" applyBorder="1" applyAlignment="1"/>
    <xf numFmtId="0" fontId="0" fillId="3" borderId="51" xfId="0" applyFill="1" applyBorder="1" applyAlignment="1">
      <alignment horizontal="center"/>
    </xf>
    <xf numFmtId="0" fontId="0" fillId="3" borderId="90" xfId="0" applyFill="1" applyBorder="1" applyAlignment="1">
      <alignment horizontal="center"/>
    </xf>
    <xf numFmtId="0" fontId="42" fillId="3" borderId="90" xfId="0" applyFont="1" applyFill="1" applyBorder="1" applyAlignment="1">
      <alignment horizontal="center"/>
    </xf>
    <xf numFmtId="0" fontId="42" fillId="3" borderId="12" xfId="0" applyFont="1" applyFill="1" applyBorder="1" applyAlignment="1">
      <alignment horizontal="center"/>
    </xf>
    <xf numFmtId="166" fontId="42" fillId="0" borderId="65" xfId="1" applyNumberFormat="1" applyFont="1" applyBorder="1" applyAlignment="1">
      <alignment horizontal="center"/>
    </xf>
    <xf numFmtId="166" fontId="42" fillId="0" borderId="19" xfId="1" applyNumberFormat="1" applyFont="1" applyBorder="1" applyAlignment="1">
      <alignment horizontal="center"/>
    </xf>
    <xf numFmtId="174" fontId="42" fillId="0" borderId="10" xfId="0" applyNumberFormat="1" applyFont="1" applyBorder="1"/>
    <xf numFmtId="0" fontId="42" fillId="0" borderId="12" xfId="0" applyFont="1" applyBorder="1"/>
    <xf numFmtId="0" fontId="42" fillId="0" borderId="21" xfId="0" applyFont="1" applyBorder="1"/>
    <xf numFmtId="0" fontId="42" fillId="0" borderId="22" xfId="0" applyFont="1" applyBorder="1"/>
    <xf numFmtId="0" fontId="42" fillId="0" borderId="18" xfId="0" applyFont="1" applyBorder="1"/>
    <xf numFmtId="0" fontId="42" fillId="0" borderId="19" xfId="0" applyFont="1" applyBorder="1"/>
    <xf numFmtId="0" fontId="44" fillId="0" borderId="0" xfId="0" applyFont="1" applyFill="1" applyBorder="1" applyAlignment="1">
      <alignment horizontal="center"/>
    </xf>
    <xf numFmtId="0" fontId="44" fillId="0" borderId="6" xfId="0" applyFont="1" applyFill="1" applyBorder="1" applyAlignment="1">
      <alignment horizontal="center"/>
    </xf>
    <xf numFmtId="9" fontId="44" fillId="26" borderId="61" xfId="0" applyNumberFormat="1" applyFont="1" applyFill="1" applyBorder="1" applyAlignment="1">
      <alignment horizontal="center"/>
    </xf>
    <xf numFmtId="9" fontId="44" fillId="26" borderId="73" xfId="0" applyNumberFormat="1" applyFont="1" applyFill="1" applyBorder="1" applyAlignment="1">
      <alignment horizontal="center"/>
    </xf>
    <xf numFmtId="9" fontId="44" fillId="28" borderId="117" xfId="0" applyNumberFormat="1" applyFont="1" applyFill="1" applyBorder="1" applyAlignment="1">
      <alignment horizontal="center"/>
    </xf>
    <xf numFmtId="9" fontId="44" fillId="28" borderId="80" xfId="0" applyNumberFormat="1" applyFont="1" applyFill="1" applyBorder="1" applyAlignment="1">
      <alignment horizontal="center"/>
    </xf>
    <xf numFmtId="0" fontId="44" fillId="0" borderId="0" xfId="0" applyFont="1" applyAlignment="1"/>
    <xf numFmtId="0" fontId="44" fillId="0" borderId="0" xfId="0" applyFont="1" applyBorder="1" applyAlignment="1"/>
    <xf numFmtId="166" fontId="44" fillId="26" borderId="0" xfId="0" applyNumberFormat="1" applyFont="1" applyFill="1" applyBorder="1" applyAlignment="1">
      <alignment horizontal="right"/>
    </xf>
    <xf numFmtId="166" fontId="44" fillId="28" borderId="0" xfId="0" applyNumberFormat="1" applyFont="1" applyFill="1" applyBorder="1" applyAlignment="1">
      <alignment horizontal="right"/>
    </xf>
    <xf numFmtId="0" fontId="0" fillId="0" borderId="0" xfId="0" applyFill="1" applyAlignment="1"/>
    <xf numFmtId="0" fontId="0" fillId="0" borderId="0" xfId="0" applyFill="1" applyBorder="1" applyAlignment="1">
      <alignment vertical="center"/>
    </xf>
    <xf numFmtId="0" fontId="5" fillId="0" borderId="0" xfId="0" applyFont="1" applyAlignment="1">
      <alignment horizontal="left"/>
    </xf>
    <xf numFmtId="0" fontId="4" fillId="0" borderId="0" xfId="2" applyFill="1" applyBorder="1" applyAlignment="1">
      <alignment horizontal="left"/>
    </xf>
    <xf numFmtId="0" fontId="0" fillId="0" borderId="1" xfId="0" applyFill="1" applyBorder="1" applyAlignment="1">
      <alignment horizontal="left"/>
    </xf>
    <xf numFmtId="0" fontId="0" fillId="0" borderId="9" xfId="0" applyFill="1" applyBorder="1" applyAlignment="1">
      <alignment horizontal="left"/>
    </xf>
    <xf numFmtId="0" fontId="0" fillId="0" borderId="2" xfId="0" applyFill="1" applyBorder="1" applyAlignment="1">
      <alignment horizontal="left"/>
    </xf>
    <xf numFmtId="0" fontId="0" fillId="0" borderId="5" xfId="0" applyFill="1" applyBorder="1" applyAlignment="1">
      <alignment horizontal="left"/>
    </xf>
    <xf numFmtId="0" fontId="0" fillId="0" borderId="6" xfId="0" applyFill="1" applyBorder="1" applyAlignment="1">
      <alignment horizontal="left"/>
    </xf>
    <xf numFmtId="0" fontId="0" fillId="0" borderId="3" xfId="0" applyFill="1" applyBorder="1" applyAlignment="1">
      <alignment horizontal="left"/>
    </xf>
    <xf numFmtId="0" fontId="0" fillId="0" borderId="7" xfId="0" applyFill="1" applyBorder="1" applyAlignment="1">
      <alignment horizontal="left"/>
    </xf>
    <xf numFmtId="0" fontId="0" fillId="0" borderId="4" xfId="0" applyFill="1" applyBorder="1" applyAlignment="1">
      <alignment horizontal="left"/>
    </xf>
    <xf numFmtId="0" fontId="0" fillId="0" borderId="7" xfId="0" applyFill="1" applyBorder="1" applyAlignment="1">
      <alignment horizontal="center"/>
    </xf>
    <xf numFmtId="0" fontId="0" fillId="0" borderId="52" xfId="0" applyBorder="1" applyAlignment="1">
      <alignment horizontal="center" vertical="center" wrapText="1"/>
    </xf>
    <xf numFmtId="0" fontId="0" fillId="0" borderId="52" xfId="0" applyFill="1" applyBorder="1" applyAlignment="1">
      <alignment horizontal="center"/>
    </xf>
    <xf numFmtId="2" fontId="0" fillId="5" borderId="7" xfId="0" applyNumberFormat="1" applyFill="1" applyBorder="1" applyAlignment="1">
      <alignment horizontal="center"/>
    </xf>
    <xf numFmtId="2" fontId="0" fillId="5" borderId="4" xfId="0" applyNumberFormat="1" applyFill="1" applyBorder="1" applyAlignment="1">
      <alignment horizontal="center"/>
    </xf>
    <xf numFmtId="2" fontId="0" fillId="5" borderId="0" xfId="0" applyNumberFormat="1" applyFill="1" applyBorder="1" applyAlignment="1">
      <alignment horizontal="center"/>
    </xf>
    <xf numFmtId="2" fontId="0" fillId="5" borderId="6" xfId="0" applyNumberFormat="1" applyFill="1" applyBorder="1" applyAlignment="1">
      <alignment horizontal="center"/>
    </xf>
    <xf numFmtId="2" fontId="0" fillId="5" borderId="8" xfId="0" applyNumberFormat="1" applyFill="1" applyBorder="1" applyAlignment="1">
      <alignment horizontal="center"/>
    </xf>
    <xf numFmtId="2" fontId="0" fillId="5" borderId="14" xfId="0" applyNumberFormat="1" applyFill="1" applyBorder="1" applyAlignment="1">
      <alignment horizontal="center"/>
    </xf>
    <xf numFmtId="0" fontId="0" fillId="5" borderId="7" xfId="0" applyFill="1" applyBorder="1" applyAlignment="1">
      <alignment horizontal="center"/>
    </xf>
    <xf numFmtId="0" fontId="0" fillId="5" borderId="39" xfId="0" applyFill="1" applyBorder="1" applyAlignment="1">
      <alignment horizontal="center"/>
    </xf>
    <xf numFmtId="2" fontId="0" fillId="5" borderId="39" xfId="0" applyNumberFormat="1" applyFill="1" applyBorder="1" applyAlignment="1">
      <alignment horizontal="center"/>
    </xf>
    <xf numFmtId="2" fontId="0" fillId="5" borderId="22" xfId="0" applyNumberFormat="1" applyFill="1" applyBorder="1" applyAlignment="1">
      <alignment horizontal="center"/>
    </xf>
    <xf numFmtId="2" fontId="0" fillId="5" borderId="41" xfId="0" applyNumberFormat="1" applyFill="1" applyBorder="1" applyAlignment="1">
      <alignment horizontal="center"/>
    </xf>
    <xf numFmtId="2" fontId="0" fillId="5" borderId="23" xfId="0" applyNumberFormat="1" applyFill="1" applyBorder="1" applyAlignment="1">
      <alignment horizontal="center"/>
    </xf>
    <xf numFmtId="2" fontId="0" fillId="5" borderId="19" xfId="0" applyNumberFormat="1" applyFill="1" applyBorder="1" applyAlignment="1">
      <alignment horizontal="center"/>
    </xf>
    <xf numFmtId="2" fontId="0" fillId="0" borderId="8" xfId="0" applyNumberFormat="1" applyFill="1" applyBorder="1" applyAlignment="1">
      <alignment horizontal="center"/>
    </xf>
    <xf numFmtId="0" fontId="0" fillId="5" borderId="4" xfId="0" applyFill="1" applyBorder="1" applyAlignment="1">
      <alignment horizontal="center"/>
    </xf>
    <xf numFmtId="0" fontId="0" fillId="5" borderId="15" xfId="0"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5" borderId="27" xfId="0" applyNumberFormat="1" applyFill="1" applyBorder="1" applyAlignment="1">
      <alignment horizontal="center"/>
    </xf>
    <xf numFmtId="166" fontId="0" fillId="5" borderId="7" xfId="0" applyNumberFormat="1" applyFill="1" applyBorder="1" applyAlignment="1">
      <alignment horizontal="center"/>
    </xf>
    <xf numFmtId="166" fontId="0" fillId="5" borderId="39" xfId="0" applyNumberFormat="1" applyFill="1" applyBorder="1" applyAlignment="1">
      <alignment horizontal="center"/>
    </xf>
    <xf numFmtId="166" fontId="0" fillId="5" borderId="0" xfId="0" applyNumberFormat="1" applyFill="1" applyBorder="1" applyAlignment="1">
      <alignment horizontal="center"/>
    </xf>
    <xf numFmtId="166" fontId="0" fillId="5" borderId="22" xfId="0" applyNumberFormat="1" applyFill="1" applyBorder="1" applyAlignment="1">
      <alignment horizontal="center"/>
    </xf>
    <xf numFmtId="166" fontId="0" fillId="5" borderId="36" xfId="0" applyNumberFormat="1" applyFill="1" applyBorder="1" applyAlignment="1">
      <alignment horizontal="center"/>
    </xf>
    <xf numFmtId="166" fontId="0" fillId="5" borderId="8" xfId="0" applyNumberFormat="1" applyFill="1" applyBorder="1" applyAlignment="1">
      <alignment horizontal="center"/>
    </xf>
    <xf numFmtId="166" fontId="0" fillId="5" borderId="41" xfId="0" applyNumberFormat="1" applyFill="1" applyBorder="1" applyAlignment="1">
      <alignment horizontal="center"/>
    </xf>
    <xf numFmtId="166" fontId="0" fillId="5" borderId="23" xfId="0" applyNumberFormat="1" applyFill="1" applyBorder="1" applyAlignment="1">
      <alignment horizontal="center"/>
    </xf>
    <xf numFmtId="166" fontId="0" fillId="5" borderId="19" xfId="0" applyNumberFormat="1" applyFill="1" applyBorder="1" applyAlignment="1">
      <alignment horizontal="center"/>
    </xf>
    <xf numFmtId="15" fontId="0" fillId="0" borderId="0" xfId="0" applyNumberFormat="1" applyAlignment="1"/>
    <xf numFmtId="0" fontId="0" fillId="0" borderId="49" xfId="0" applyBorder="1" applyAlignment="1"/>
    <xf numFmtId="0" fontId="0" fillId="0" borderId="27" xfId="0" applyBorder="1" applyAlignment="1"/>
    <xf numFmtId="0" fontId="0" fillId="0" borderId="39" xfId="0" applyBorder="1" applyAlignment="1"/>
    <xf numFmtId="0" fontId="0" fillId="44" borderId="52" xfId="0" applyFill="1" applyBorder="1" applyAlignment="1"/>
    <xf numFmtId="0" fontId="0" fillId="12" borderId="52" xfId="0" applyFill="1" applyBorder="1"/>
    <xf numFmtId="0" fontId="0" fillId="13" borderId="63" xfId="0" applyFill="1" applyBorder="1" applyAlignment="1">
      <alignment horizontal="center"/>
    </xf>
    <xf numFmtId="0" fontId="0" fillId="13" borderId="64" xfId="0" applyFill="1" applyBorder="1" applyAlignment="1">
      <alignment horizontal="center"/>
    </xf>
    <xf numFmtId="0" fontId="0" fillId="13" borderId="54" xfId="0" applyFill="1" applyBorder="1" applyAlignment="1">
      <alignment horizontal="center"/>
    </xf>
    <xf numFmtId="0" fontId="0" fillId="2" borderId="64" xfId="0" applyFill="1" applyBorder="1" applyAlignment="1">
      <alignment horizontal="center"/>
    </xf>
    <xf numFmtId="0" fontId="0" fillId="2" borderId="54" xfId="0" applyFill="1" applyBorder="1" applyAlignment="1">
      <alignment horizontal="center"/>
    </xf>
    <xf numFmtId="0" fontId="0" fillId="45" borderId="64" xfId="0" applyFill="1" applyBorder="1" applyAlignment="1">
      <alignment horizontal="center"/>
    </xf>
    <xf numFmtId="0" fontId="0" fillId="45" borderId="54" xfId="0" applyFill="1" applyBorder="1" applyAlignment="1">
      <alignment horizontal="center"/>
    </xf>
    <xf numFmtId="0" fontId="0" fillId="2" borderId="74" xfId="0" applyFill="1" applyBorder="1" applyAlignment="1">
      <alignment horizontal="center"/>
    </xf>
    <xf numFmtId="166" fontId="0" fillId="0" borderId="21" xfId="0" applyNumberFormat="1" applyBorder="1" applyAlignment="1">
      <alignment horizontal="center"/>
    </xf>
    <xf numFmtId="166" fontId="0" fillId="0" borderId="18" xfId="0" applyNumberFormat="1" applyBorder="1" applyAlignment="1">
      <alignment horizontal="center"/>
    </xf>
    <xf numFmtId="166" fontId="0" fillId="0" borderId="49" xfId="0" applyNumberFormat="1" applyBorder="1" applyAlignment="1">
      <alignment horizontal="center"/>
    </xf>
    <xf numFmtId="0" fontId="0" fillId="13" borderId="74" xfId="0" applyFill="1" applyBorder="1" applyAlignment="1">
      <alignment horizontal="center"/>
    </xf>
    <xf numFmtId="0" fontId="0" fillId="13" borderId="75" xfId="0" applyFill="1" applyBorder="1" applyAlignment="1">
      <alignment horizontal="center"/>
    </xf>
    <xf numFmtId="166" fontId="0" fillId="0" borderId="53" xfId="0" applyNumberFormat="1" applyBorder="1" applyAlignment="1">
      <alignment horizontal="center"/>
    </xf>
    <xf numFmtId="0" fontId="0" fillId="13" borderId="22" xfId="0" applyFill="1" applyBorder="1" applyAlignment="1">
      <alignment horizontal="center"/>
    </xf>
    <xf numFmtId="9" fontId="0" fillId="0" borderId="22" xfId="0" applyNumberFormat="1" applyBorder="1" applyAlignment="1">
      <alignment horizontal="center"/>
    </xf>
    <xf numFmtId="9" fontId="0" fillId="0" borderId="23" xfId="0" applyNumberFormat="1" applyBorder="1" applyAlignment="1">
      <alignment horizontal="center"/>
    </xf>
    <xf numFmtId="9" fontId="0" fillId="0" borderId="19" xfId="0" applyNumberFormat="1" applyBorder="1" applyAlignment="1">
      <alignment horizontal="center"/>
    </xf>
    <xf numFmtId="0" fontId="45" fillId="7" borderId="2" xfId="0" applyFont="1" applyFill="1" applyBorder="1" applyAlignment="1">
      <alignment horizontal="left" vertical="center"/>
    </xf>
    <xf numFmtId="2" fontId="0" fillId="2" borderId="15" xfId="0" applyNumberFormat="1" applyFill="1" applyBorder="1" applyAlignment="1">
      <alignment horizontal="center"/>
    </xf>
    <xf numFmtId="2" fontId="0" fillId="2" borderId="16" xfId="0" applyNumberFormat="1" applyFill="1" applyBorder="1" applyAlignment="1">
      <alignment horizontal="center"/>
    </xf>
    <xf numFmtId="2" fontId="0" fillId="2" borderId="17" xfId="0" applyNumberFormat="1" applyFill="1" applyBorder="1" applyAlignment="1">
      <alignment horizontal="center"/>
    </xf>
    <xf numFmtId="0" fontId="1" fillId="2" borderId="1" xfId="0" applyFont="1" applyFill="1" applyBorder="1" applyAlignment="1">
      <alignment horizontal="center"/>
    </xf>
    <xf numFmtId="164" fontId="0" fillId="7" borderId="82" xfId="0" applyNumberFormat="1" applyFill="1" applyBorder="1" applyAlignment="1"/>
    <xf numFmtId="9" fontId="0" fillId="0" borderId="24" xfId="0" applyNumberFormat="1" applyBorder="1" applyAlignment="1">
      <alignment horizontal="center"/>
    </xf>
    <xf numFmtId="9" fontId="0" fillId="0" borderId="7" xfId="0" applyNumberFormat="1" applyBorder="1" applyAlignment="1">
      <alignment horizontal="center"/>
    </xf>
    <xf numFmtId="9" fontId="0" fillId="0" borderId="25" xfId="0" applyNumberFormat="1" applyBorder="1" applyAlignment="1">
      <alignment horizontal="center"/>
    </xf>
    <xf numFmtId="9" fontId="0" fillId="0" borderId="26" xfId="0" applyNumberFormat="1" applyBorder="1" applyAlignment="1">
      <alignment horizontal="center"/>
    </xf>
    <xf numFmtId="15" fontId="0" fillId="0" borderId="1" xfId="0" applyNumberFormat="1" applyBorder="1" applyAlignment="1"/>
    <xf numFmtId="15" fontId="0" fillId="0" borderId="9" xfId="0" applyNumberFormat="1" applyBorder="1" applyAlignment="1"/>
    <xf numFmtId="0" fontId="46" fillId="0" borderId="1" xfId="0" applyFont="1" applyFill="1" applyBorder="1" applyAlignment="1"/>
    <xf numFmtId="0" fontId="46" fillId="0" borderId="9" xfId="0" applyFont="1" applyFill="1" applyBorder="1" applyAlignment="1"/>
    <xf numFmtId="0" fontId="46" fillId="0" borderId="9" xfId="0" applyFont="1" applyBorder="1" applyAlignment="1"/>
    <xf numFmtId="0" fontId="46" fillId="0" borderId="2" xfId="0" applyFont="1" applyBorder="1" applyAlignment="1"/>
    <xf numFmtId="0" fontId="46" fillId="0" borderId="5" xfId="0" applyFont="1" applyFill="1" applyBorder="1" applyAlignment="1"/>
    <xf numFmtId="0" fontId="46" fillId="0" borderId="0" xfId="0" applyFont="1" applyFill="1" applyBorder="1" applyAlignment="1"/>
    <xf numFmtId="0" fontId="46" fillId="0" borderId="0" xfId="0" applyFont="1" applyBorder="1" applyAlignment="1"/>
    <xf numFmtId="0" fontId="46" fillId="0" borderId="6" xfId="0" applyFont="1" applyBorder="1" applyAlignment="1"/>
    <xf numFmtId="0" fontId="46" fillId="0" borderId="3" xfId="0" applyFont="1" applyFill="1" applyBorder="1" applyAlignment="1"/>
    <xf numFmtId="0" fontId="46" fillId="0" borderId="7" xfId="0" applyFont="1" applyFill="1" applyBorder="1" applyAlignment="1">
      <alignment horizontal="left"/>
    </xf>
    <xf numFmtId="0" fontId="46" fillId="0" borderId="4" xfId="0" applyFont="1" applyFill="1" applyBorder="1" applyAlignment="1">
      <alignment horizontal="right"/>
    </xf>
    <xf numFmtId="0" fontId="46" fillId="0" borderId="7" xfId="0" applyFont="1" applyFill="1" applyBorder="1" applyAlignment="1"/>
    <xf numFmtId="0" fontId="46" fillId="0" borderId="7" xfId="0" applyFont="1" applyBorder="1" applyAlignment="1"/>
    <xf numFmtId="0" fontId="46" fillId="0" borderId="0" xfId="0" applyFont="1" applyFill="1" applyBorder="1" applyAlignment="1">
      <alignment horizontal="center"/>
    </xf>
    <xf numFmtId="0" fontId="46" fillId="0" borderId="6" xfId="0" applyFont="1" applyFill="1" applyBorder="1" applyAlignment="1">
      <alignment horizontal="center"/>
    </xf>
    <xf numFmtId="167" fontId="46" fillId="0" borderId="6" xfId="0" applyNumberFormat="1" applyFont="1" applyFill="1" applyBorder="1" applyAlignment="1">
      <alignment horizontal="center"/>
    </xf>
    <xf numFmtId="167" fontId="46" fillId="0" borderId="0" xfId="0" applyNumberFormat="1" applyFont="1" applyFill="1" applyBorder="1" applyAlignment="1">
      <alignment horizontal="center"/>
    </xf>
    <xf numFmtId="167" fontId="47" fillId="0" borderId="6" xfId="0" applyNumberFormat="1" applyFont="1" applyFill="1" applyBorder="1" applyAlignment="1">
      <alignment horizontal="center"/>
    </xf>
    <xf numFmtId="167" fontId="47" fillId="0" borderId="0" xfId="0" applyNumberFormat="1" applyFont="1" applyFill="1" applyBorder="1" applyAlignment="1">
      <alignment horizontal="center"/>
    </xf>
    <xf numFmtId="0" fontId="46" fillId="0" borderId="7" xfId="0" applyFont="1" applyFill="1" applyBorder="1" applyAlignment="1">
      <alignment horizontal="center"/>
    </xf>
    <xf numFmtId="2" fontId="46" fillId="0" borderId="4" xfId="0" applyNumberFormat="1" applyFont="1" applyFill="1" applyBorder="1" applyAlignment="1">
      <alignment horizontal="center"/>
    </xf>
    <xf numFmtId="2" fontId="46" fillId="0" borderId="7" xfId="0" applyNumberFormat="1" applyFont="1" applyFill="1" applyBorder="1" applyAlignment="1">
      <alignment horizontal="center"/>
    </xf>
    <xf numFmtId="0" fontId="47" fillId="0" borderId="0" xfId="0" applyFont="1" applyFill="1" applyBorder="1" applyAlignment="1">
      <alignment horizontal="center"/>
    </xf>
    <xf numFmtId="0" fontId="46" fillId="0" borderId="0" xfId="0" applyFont="1" applyFill="1" applyBorder="1" applyAlignment="1">
      <alignment horizontal="left"/>
    </xf>
    <xf numFmtId="0" fontId="46" fillId="0" borderId="4" xfId="0" applyFont="1" applyBorder="1" applyAlignment="1"/>
    <xf numFmtId="0" fontId="24" fillId="0" borderId="5" xfId="0" applyFont="1" applyFill="1" applyBorder="1" applyAlignment="1">
      <alignment horizontal="left"/>
    </xf>
    <xf numFmtId="6" fontId="24" fillId="0" borderId="3" xfId="0" applyNumberFormat="1" applyFont="1" applyFill="1" applyBorder="1" applyAlignment="1">
      <alignment horizontal="left"/>
    </xf>
    <xf numFmtId="4" fontId="24" fillId="0" borderId="3" xfId="0" applyNumberFormat="1" applyFont="1" applyFill="1" applyBorder="1" applyAlignment="1">
      <alignment horizontal="left"/>
    </xf>
    <xf numFmtId="6" fontId="0" fillId="0" borderId="91" xfId="0" applyNumberFormat="1" applyFont="1" applyBorder="1" applyAlignment="1">
      <alignment horizontal="center"/>
    </xf>
    <xf numFmtId="8" fontId="0" fillId="0" borderId="119" xfId="0" applyNumberFormat="1" applyBorder="1" applyAlignment="1">
      <alignment horizontal="center"/>
    </xf>
    <xf numFmtId="6" fontId="0" fillId="0" borderId="83" xfId="0" applyNumberFormat="1" applyBorder="1" applyAlignment="1">
      <alignment horizontal="center"/>
    </xf>
    <xf numFmtId="6" fontId="0" fillId="0" borderId="1" xfId="0" applyNumberFormat="1" applyFont="1" applyBorder="1" applyAlignment="1">
      <alignment horizontal="center"/>
    </xf>
    <xf numFmtId="8" fontId="0" fillId="0" borderId="5" xfId="0" applyNumberFormat="1" applyBorder="1" applyAlignment="1">
      <alignment horizontal="center"/>
    </xf>
    <xf numFmtId="0" fontId="24" fillId="0" borderId="0" xfId="0" applyFont="1" applyAlignment="1">
      <alignment horizontal="right"/>
    </xf>
    <xf numFmtId="8" fontId="0" fillId="0" borderId="0" xfId="0" applyNumberFormat="1"/>
    <xf numFmtId="4" fontId="0" fillId="0" borderId="0" xfId="0" applyNumberFormat="1" applyAlignment="1">
      <alignment horizontal="center"/>
    </xf>
    <xf numFmtId="10" fontId="0" fillId="0" borderId="5" xfId="0" applyNumberFormat="1" applyBorder="1" applyAlignment="1">
      <alignment horizontal="center"/>
    </xf>
    <xf numFmtId="10" fontId="0" fillId="0" borderId="119" xfId="0" applyNumberFormat="1" applyBorder="1" applyAlignment="1">
      <alignment horizontal="center"/>
    </xf>
    <xf numFmtId="168" fontId="0" fillId="0" borderId="21" xfId="0" applyNumberFormat="1" applyBorder="1"/>
    <xf numFmtId="168" fontId="0" fillId="0" borderId="22" xfId="0" applyNumberFormat="1" applyBorder="1"/>
    <xf numFmtId="168" fontId="0" fillId="0" borderId="18" xfId="0" applyNumberFormat="1" applyBorder="1"/>
    <xf numFmtId="168" fontId="0" fillId="0" borderId="23" xfId="0" applyNumberFormat="1" applyBorder="1"/>
    <xf numFmtId="168" fontId="0" fillId="0" borderId="19" xfId="0" applyNumberFormat="1" applyBorder="1"/>
    <xf numFmtId="168" fontId="0" fillId="46" borderId="22" xfId="0" applyNumberFormat="1" applyFill="1" applyBorder="1"/>
    <xf numFmtId="8" fontId="0" fillId="0" borderId="23" xfId="0" applyNumberFormat="1" applyBorder="1" applyAlignment="1">
      <alignment horizontal="center"/>
    </xf>
    <xf numFmtId="8" fontId="0" fillId="0" borderId="28" xfId="0" applyNumberFormat="1" applyBorder="1"/>
    <xf numFmtId="6" fontId="0" fillId="0" borderId="0" xfId="0" applyNumberFormat="1"/>
    <xf numFmtId="175" fontId="0" fillId="0" borderId="0" xfId="0" applyNumberFormat="1"/>
    <xf numFmtId="175" fontId="0" fillId="0" borderId="0" xfId="0" applyNumberFormat="1" applyAlignment="1">
      <alignment horizontal="center"/>
    </xf>
    <xf numFmtId="168" fontId="0" fillId="25" borderId="22" xfId="0" applyNumberFormat="1" applyFill="1" applyBorder="1"/>
    <xf numFmtId="0" fontId="0" fillId="0" borderId="5"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6" xfId="0" applyBorder="1" applyAlignment="1">
      <alignment horizontal="left"/>
    </xf>
    <xf numFmtId="2" fontId="0" fillId="0" borderId="0" xfId="0" applyNumberFormat="1" applyAlignment="1">
      <alignment horizontal="left"/>
    </xf>
    <xf numFmtId="0" fontId="0" fillId="36" borderId="0" xfId="0" applyFill="1" applyAlignment="1">
      <alignment horizontal="center"/>
    </xf>
    <xf numFmtId="0" fontId="0" fillId="17" borderId="0" xfId="0" applyFill="1" applyAlignment="1">
      <alignment horizontal="center"/>
    </xf>
    <xf numFmtId="0" fontId="0" fillId="46" borderId="0" xfId="0" applyFill="1" applyAlignment="1">
      <alignment horizontal="center"/>
    </xf>
    <xf numFmtId="1" fontId="24" fillId="0" borderId="0" xfId="0" applyNumberFormat="1" applyFont="1" applyBorder="1" applyAlignment="1">
      <alignment horizontal="center"/>
    </xf>
    <xf numFmtId="1" fontId="24" fillId="0" borderId="7" xfId="0" applyNumberFormat="1" applyFont="1" applyBorder="1" applyAlignment="1">
      <alignment horizontal="center"/>
    </xf>
    <xf numFmtId="1" fontId="24" fillId="0" borderId="0" xfId="0" applyNumberFormat="1" applyFont="1" applyAlignment="1">
      <alignment horizontal="center"/>
    </xf>
    <xf numFmtId="1" fontId="24" fillId="0" borderId="6" xfId="0" applyNumberFormat="1" applyFont="1" applyBorder="1" applyAlignment="1">
      <alignment horizontal="center"/>
    </xf>
    <xf numFmtId="1" fontId="24" fillId="0" borderId="4" xfId="0" applyNumberFormat="1" applyFont="1" applyBorder="1" applyAlignment="1">
      <alignment horizontal="center"/>
    </xf>
    <xf numFmtId="0" fontId="1" fillId="0" borderId="0" xfId="0" applyFont="1"/>
    <xf numFmtId="0" fontId="49" fillId="0" borderId="0" xfId="0" applyFont="1"/>
    <xf numFmtId="8" fontId="0" fillId="0" borderId="0" xfId="0" applyNumberFormat="1" applyAlignment="1">
      <alignment horizontal="center"/>
    </xf>
    <xf numFmtId="2" fontId="0" fillId="36" borderId="4" xfId="0" applyNumberFormat="1" applyFill="1" applyBorder="1" applyAlignment="1">
      <alignment horizontal="center"/>
    </xf>
    <xf numFmtId="1" fontId="0" fillId="46" borderId="0" xfId="0" applyNumberFormat="1" applyFill="1" applyBorder="1" applyAlignment="1">
      <alignment horizontal="center"/>
    </xf>
    <xf numFmtId="1" fontId="0" fillId="46" borderId="7" xfId="0" applyNumberFormat="1" applyFill="1" applyBorder="1" applyAlignment="1">
      <alignment horizontal="center"/>
    </xf>
    <xf numFmtId="1" fontId="0" fillId="17" borderId="6" xfId="0" applyNumberFormat="1" applyFill="1" applyBorder="1" applyAlignment="1">
      <alignment horizontal="center"/>
    </xf>
    <xf numFmtId="1" fontId="0" fillId="0" borderId="0" xfId="0" applyNumberFormat="1" applyFill="1" applyBorder="1" applyAlignment="1">
      <alignment horizontal="center"/>
    </xf>
    <xf numFmtId="1" fontId="0" fillId="0" borderId="6" xfId="0" applyNumberFormat="1" applyFill="1" applyBorder="1" applyAlignment="1">
      <alignment horizontal="center"/>
    </xf>
    <xf numFmtId="1" fontId="0" fillId="0" borderId="7" xfId="0" applyNumberFormat="1" applyFill="1" applyBorder="1" applyAlignment="1">
      <alignment horizontal="center"/>
    </xf>
    <xf numFmtId="2" fontId="0" fillId="0" borderId="4" xfId="0" applyNumberFormat="1" applyFill="1" applyBorder="1" applyAlignment="1">
      <alignment horizontal="center"/>
    </xf>
    <xf numFmtId="0" fontId="0" fillId="0" borderId="0" xfId="0" applyFont="1"/>
    <xf numFmtId="0" fontId="0" fillId="0" borderId="5" xfId="0" applyBorder="1" applyAlignment="1">
      <alignment horizontal="right"/>
    </xf>
    <xf numFmtId="0" fontId="5" fillId="0" borderId="40" xfId="0" applyFont="1" applyBorder="1" applyAlignment="1">
      <alignment horizontal="center"/>
    </xf>
    <xf numFmtId="0" fontId="5" fillId="0" borderId="0" xfId="0" applyFont="1" applyFill="1" applyBorder="1" applyAlignment="1">
      <alignment horizontal="center"/>
    </xf>
    <xf numFmtId="0" fontId="5" fillId="0" borderId="119" xfId="0" applyFont="1" applyBorder="1" applyAlignment="1">
      <alignment horizontal="center"/>
    </xf>
    <xf numFmtId="0" fontId="7" fillId="0" borderId="52" xfId="0" applyFont="1" applyFill="1" applyBorder="1" applyAlignment="1">
      <alignment horizontal="left" vertical="center"/>
    </xf>
    <xf numFmtId="0" fontId="7" fillId="13" borderId="84" xfId="0" applyFont="1" applyFill="1" applyBorder="1" applyAlignment="1">
      <alignment horizontal="left" vertical="center"/>
    </xf>
    <xf numFmtId="0" fontId="7" fillId="0" borderId="85" xfId="0" applyFont="1" applyBorder="1" applyAlignment="1">
      <alignment vertical="top" wrapText="1"/>
    </xf>
    <xf numFmtId="0" fontId="7" fillId="21" borderId="84" xfId="0" applyFont="1" applyFill="1" applyBorder="1" applyAlignment="1">
      <alignment horizontal="left" vertical="center"/>
    </xf>
    <xf numFmtId="0" fontId="7" fillId="29" borderId="84" xfId="0" applyFont="1" applyFill="1" applyBorder="1" applyAlignment="1">
      <alignment horizontal="left" vertical="center"/>
    </xf>
    <xf numFmtId="0" fontId="7" fillId="25" borderId="84" xfId="0" applyFont="1" applyFill="1" applyBorder="1" applyAlignment="1">
      <alignment horizontal="left" vertical="center"/>
    </xf>
    <xf numFmtId="0" fontId="7" fillId="46" borderId="84" xfId="0" applyFont="1" applyFill="1" applyBorder="1" applyAlignment="1">
      <alignment horizontal="left" vertical="center"/>
    </xf>
    <xf numFmtId="0" fontId="7" fillId="31" borderId="84" xfId="0" applyFont="1" applyFill="1" applyBorder="1" applyAlignment="1">
      <alignment horizontal="left" vertical="center"/>
    </xf>
    <xf numFmtId="0" fontId="7" fillId="17" borderId="84" xfId="0" applyFont="1" applyFill="1" applyBorder="1" applyAlignment="1">
      <alignment horizontal="left" vertical="center"/>
    </xf>
    <xf numFmtId="0" fontId="7" fillId="15" borderId="84" xfId="0" applyFont="1" applyFill="1" applyBorder="1" applyAlignment="1">
      <alignment horizontal="left" vertical="center"/>
    </xf>
    <xf numFmtId="0" fontId="7" fillId="40" borderId="84" xfId="0" applyFont="1" applyFill="1" applyBorder="1" applyAlignment="1">
      <alignment horizontal="left" vertical="center"/>
    </xf>
    <xf numFmtId="0" fontId="7" fillId="47" borderId="84" xfId="0" applyFont="1" applyFill="1" applyBorder="1" applyAlignment="1">
      <alignment horizontal="left" vertical="center"/>
    </xf>
    <xf numFmtId="0" fontId="7" fillId="3" borderId="84" xfId="0" applyFont="1" applyFill="1" applyBorder="1" applyAlignment="1">
      <alignment horizontal="left" vertical="center"/>
    </xf>
    <xf numFmtId="0" fontId="7" fillId="27" borderId="84" xfId="0" applyFont="1" applyFill="1" applyBorder="1" applyAlignment="1">
      <alignment horizontal="left" vertical="center"/>
    </xf>
    <xf numFmtId="0" fontId="7" fillId="27" borderId="86" xfId="0" applyFont="1" applyFill="1" applyBorder="1" applyAlignment="1">
      <alignment horizontal="left" vertical="center"/>
    </xf>
    <xf numFmtId="0" fontId="7" fillId="0" borderId="89" xfId="0" applyFont="1" applyFill="1" applyBorder="1" applyAlignment="1">
      <alignment horizontal="left" vertical="center"/>
    </xf>
    <xf numFmtId="0" fontId="7" fillId="0" borderId="87" xfId="0" applyFont="1" applyBorder="1" applyAlignment="1">
      <alignment vertical="top" wrapText="1"/>
    </xf>
    <xf numFmtId="0" fontId="21" fillId="0" borderId="0" xfId="0" applyFont="1" applyAlignment="1">
      <alignment horizontal="left"/>
    </xf>
    <xf numFmtId="0" fontId="29" fillId="0" borderId="10" xfId="0" applyFont="1" applyBorder="1" applyAlignment="1">
      <alignment horizontal="center" wrapText="1"/>
    </xf>
    <xf numFmtId="0" fontId="29" fillId="0" borderId="11" xfId="0" applyFont="1" applyBorder="1" applyAlignment="1">
      <alignment horizontal="center" wrapText="1"/>
    </xf>
    <xf numFmtId="0" fontId="29" fillId="0" borderId="12" xfId="0" applyFont="1" applyBorder="1" applyAlignment="1">
      <alignment horizontal="center" wrapText="1"/>
    </xf>
    <xf numFmtId="0" fontId="29" fillId="0" borderId="18" xfId="0" applyFont="1" applyBorder="1" applyAlignment="1">
      <alignment horizontal="center" wrapText="1"/>
    </xf>
    <xf numFmtId="0" fontId="29" fillId="0" borderId="23" xfId="0" applyFont="1" applyBorder="1" applyAlignment="1">
      <alignment horizontal="center" wrapText="1"/>
    </xf>
    <xf numFmtId="0" fontId="29" fillId="0" borderId="19" xfId="0" applyFont="1" applyBorder="1" applyAlignment="1">
      <alignment horizontal="center" wrapText="1"/>
    </xf>
    <xf numFmtId="0" fontId="0" fillId="0" borderId="108" xfId="0" applyBorder="1" applyAlignment="1">
      <alignment horizontal="center" vertical="center" wrapText="1"/>
    </xf>
    <xf numFmtId="0" fontId="0" fillId="0" borderId="109" xfId="0" applyBorder="1" applyAlignment="1">
      <alignment horizontal="center" vertical="center" wrapText="1"/>
    </xf>
    <xf numFmtId="0" fontId="0" fillId="0" borderId="110" xfId="0" applyBorder="1" applyAlignment="1">
      <alignment horizontal="center" vertical="center" wrapText="1"/>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1" xfId="0" applyBorder="1" applyAlignment="1">
      <alignment horizontal="center" vertical="center"/>
    </xf>
    <xf numFmtId="0" fontId="0" fillId="0" borderId="40" xfId="0" applyBorder="1" applyAlignment="1">
      <alignment horizontal="center" vertical="center"/>
    </xf>
    <xf numFmtId="0" fontId="0" fillId="0" borderId="50" xfId="0" applyBorder="1" applyAlignment="1">
      <alignment horizontal="center" vertical="center"/>
    </xf>
    <xf numFmtId="0" fontId="1" fillId="8" borderId="42" xfId="0" applyFont="1" applyFill="1" applyBorder="1" applyAlignment="1">
      <alignment horizontal="center" vertical="center"/>
    </xf>
    <xf numFmtId="0" fontId="1" fillId="8" borderId="43" xfId="0" applyFont="1" applyFill="1" applyBorder="1" applyAlignment="1">
      <alignment horizontal="center" vertical="center"/>
    </xf>
    <xf numFmtId="0" fontId="22" fillId="0" borderId="1" xfId="0" applyFont="1" applyBorder="1" applyAlignment="1">
      <alignment horizontal="center" wrapText="1"/>
    </xf>
    <xf numFmtId="0" fontId="22" fillId="0" borderId="9" xfId="0" applyFont="1" applyBorder="1" applyAlignment="1">
      <alignment horizontal="center" wrapText="1"/>
    </xf>
    <xf numFmtId="0" fontId="22" fillId="0" borderId="5" xfId="0" applyFont="1" applyBorder="1" applyAlignment="1">
      <alignment horizontal="center" wrapText="1"/>
    </xf>
    <xf numFmtId="0" fontId="22" fillId="0" borderId="0" xfId="0" applyFont="1" applyBorder="1" applyAlignment="1">
      <alignment horizontal="center" wrapText="1"/>
    </xf>
    <xf numFmtId="0" fontId="22" fillId="0" borderId="3" xfId="0" applyFont="1" applyBorder="1" applyAlignment="1">
      <alignment horizontal="center" wrapText="1"/>
    </xf>
    <xf numFmtId="0" fontId="22" fillId="0" borderId="7" xfId="0" applyFont="1" applyBorder="1" applyAlignment="1">
      <alignment horizontal="center" wrapText="1"/>
    </xf>
    <xf numFmtId="0" fontId="11" fillId="0" borderId="1"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0" fillId="0" borderId="5"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3" fillId="0" borderId="10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36" fillId="0" borderId="0" xfId="0" applyFont="1" applyAlignment="1">
      <alignment horizontal="left"/>
    </xf>
    <xf numFmtId="199" fontId="0" fillId="0" borderId="0" xfId="0" applyNumberFormat="1" applyAlignment="1">
      <alignment horizontal="left"/>
    </xf>
    <xf numFmtId="198" fontId="0" fillId="0" borderId="0" xfId="0" applyNumberFormat="1" applyAlignment="1">
      <alignment horizontal="left"/>
    </xf>
    <xf numFmtId="0" fontId="1" fillId="0" borderId="0" xfId="0" applyFont="1" applyFill="1" applyBorder="1" applyAlignment="1">
      <alignment horizontal="center"/>
    </xf>
    <xf numFmtId="0" fontId="1" fillId="0" borderId="0" xfId="0" applyFont="1" applyBorder="1" applyAlignment="1">
      <alignment horizontal="center"/>
    </xf>
    <xf numFmtId="0" fontId="0" fillId="0" borderId="1" xfId="0" applyFont="1" applyFill="1" applyBorder="1" applyAlignment="1">
      <alignment horizontal="center"/>
    </xf>
    <xf numFmtId="0" fontId="0" fillId="0" borderId="2" xfId="0" applyFont="1" applyFill="1" applyBorder="1" applyAlignment="1">
      <alignment horizontal="center"/>
    </xf>
    <xf numFmtId="0" fontId="44" fillId="0" borderId="9" xfId="0" applyFont="1" applyFill="1" applyBorder="1" applyAlignment="1">
      <alignment horizontal="center"/>
    </xf>
    <xf numFmtId="0" fontId="44" fillId="0" borderId="2" xfId="0" applyFont="1" applyFill="1" applyBorder="1" applyAlignment="1">
      <alignment horizontal="center"/>
    </xf>
    <xf numFmtId="0" fontId="1" fillId="0" borderId="7" xfId="0" applyFont="1" applyFill="1" applyBorder="1" applyAlignment="1">
      <alignment horizontal="center"/>
    </xf>
    <xf numFmtId="0" fontId="1" fillId="0" borderId="4" xfId="0" applyFont="1" applyFill="1" applyBorder="1" applyAlignment="1">
      <alignment horizontal="center"/>
    </xf>
    <xf numFmtId="0" fontId="43" fillId="0" borderId="7" xfId="0" applyFont="1" applyFill="1" applyBorder="1" applyAlignment="1">
      <alignment horizontal="center"/>
    </xf>
    <xf numFmtId="0" fontId="1" fillId="0" borderId="6" xfId="0" applyFont="1" applyFill="1" applyBorder="1" applyAlignment="1">
      <alignment horizontal="center"/>
    </xf>
    <xf numFmtId="0" fontId="43" fillId="0" borderId="0" xfId="0" applyFont="1" applyFill="1" applyBorder="1" applyAlignment="1">
      <alignment horizontal="center"/>
    </xf>
    <xf numFmtId="0" fontId="0" fillId="23" borderId="0" xfId="0" applyFill="1" applyBorder="1" applyAlignment="1">
      <alignment horizontal="center" wrapText="1"/>
    </xf>
    <xf numFmtId="0" fontId="0" fillId="22" borderId="36" xfId="0" applyFill="1" applyBorder="1" applyAlignment="1">
      <alignment horizontal="center"/>
    </xf>
    <xf numFmtId="0" fontId="0" fillId="22" borderId="14" xfId="0" applyFill="1" applyBorder="1" applyAlignment="1">
      <alignment horizontal="center"/>
    </xf>
    <xf numFmtId="0" fontId="0" fillId="0" borderId="52" xfId="0" applyBorder="1" applyAlignment="1">
      <alignment horizontal="center"/>
    </xf>
    <xf numFmtId="0" fontId="0" fillId="22" borderId="13" xfId="0" applyFill="1" applyBorder="1" applyAlignment="1">
      <alignment horizontal="center"/>
    </xf>
    <xf numFmtId="0" fontId="0" fillId="22" borderId="41" xfId="0" applyFill="1" applyBorder="1" applyAlignment="1">
      <alignment horizontal="center"/>
    </xf>
    <xf numFmtId="0" fontId="0" fillId="22" borderId="8" xfId="0" applyFill="1" applyBorder="1" applyAlignment="1">
      <alignment horizontal="center"/>
    </xf>
    <xf numFmtId="0" fontId="0" fillId="23" borderId="0" xfId="0" applyFill="1" applyBorder="1" applyAlignment="1">
      <alignment horizontal="center" vertical="center" wrapText="1"/>
    </xf>
    <xf numFmtId="0" fontId="0" fillId="0" borderId="1" xfId="0"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0" fillId="0" borderId="23" xfId="0" applyBorder="1" applyAlignment="1">
      <alignment horizontal="center" vertical="center"/>
    </xf>
    <xf numFmtId="0" fontId="0" fillId="25" borderId="52" xfId="0" applyFill="1" applyBorder="1" applyAlignment="1">
      <alignment horizontal="center"/>
    </xf>
    <xf numFmtId="0" fontId="0" fillId="42" borderId="52" xfId="0" applyFill="1" applyBorder="1" applyAlignment="1">
      <alignment horizontal="center"/>
    </xf>
    <xf numFmtId="0" fontId="0" fillId="14" borderId="52" xfId="0" applyFill="1" applyBorder="1" applyAlignment="1">
      <alignment horizontal="center"/>
    </xf>
    <xf numFmtId="0" fontId="0" fillId="2" borderId="52" xfId="0" applyFill="1" applyBorder="1" applyAlignment="1">
      <alignment horizontal="center"/>
    </xf>
    <xf numFmtId="0" fontId="0" fillId="34" borderId="52" xfId="0" applyFill="1" applyBorder="1" applyAlignment="1">
      <alignment horizontal="center"/>
    </xf>
    <xf numFmtId="0" fontId="0" fillId="26" borderId="52" xfId="0" applyFill="1" applyBorder="1" applyAlignment="1">
      <alignment horizontal="center"/>
    </xf>
    <xf numFmtId="0" fontId="0" fillId="5" borderId="63" xfId="0" applyFill="1" applyBorder="1" applyAlignment="1">
      <alignment horizontal="center"/>
    </xf>
    <xf numFmtId="0" fontId="0" fillId="5" borderId="64" xfId="0" applyFill="1" applyBorder="1" applyAlignment="1">
      <alignment horizontal="center"/>
    </xf>
    <xf numFmtId="0" fontId="0" fillId="5" borderId="54" xfId="0" applyFill="1" applyBorder="1" applyAlignment="1">
      <alignment horizontal="center"/>
    </xf>
    <xf numFmtId="0" fontId="0" fillId="24" borderId="63" xfId="0" applyFill="1" applyBorder="1" applyAlignment="1">
      <alignment horizontal="center"/>
    </xf>
    <xf numFmtId="0" fontId="0" fillId="24" borderId="64" xfId="0" applyFill="1" applyBorder="1" applyAlignment="1">
      <alignment horizontal="center"/>
    </xf>
    <xf numFmtId="0" fontId="0" fillId="24" borderId="54" xfId="0" applyFill="1" applyBorder="1" applyAlignment="1">
      <alignment horizontal="center"/>
    </xf>
    <xf numFmtId="0" fontId="0" fillId="17" borderId="63" xfId="0" applyFill="1" applyBorder="1" applyAlignment="1">
      <alignment horizontal="center"/>
    </xf>
    <xf numFmtId="0" fontId="0" fillId="17" borderId="64" xfId="0" applyFill="1" applyBorder="1" applyAlignment="1">
      <alignment horizontal="center"/>
    </xf>
    <xf numFmtId="0" fontId="0" fillId="17" borderId="54" xfId="0" applyFill="1" applyBorder="1" applyAlignment="1">
      <alignment horizontal="center"/>
    </xf>
    <xf numFmtId="0" fontId="0" fillId="43" borderId="63" xfId="0" applyFill="1" applyBorder="1" applyAlignment="1">
      <alignment horizontal="center"/>
    </xf>
    <xf numFmtId="0" fontId="0" fillId="43" borderId="64" xfId="0" applyFill="1" applyBorder="1" applyAlignment="1">
      <alignment horizontal="center"/>
    </xf>
    <xf numFmtId="0" fontId="0" fillId="43" borderId="54" xfId="0" applyFill="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0" fillId="0" borderId="54" xfId="0" applyBorder="1" applyAlignment="1">
      <alignment horizontal="center"/>
    </xf>
    <xf numFmtId="0" fontId="0" fillId="18" borderId="63" xfId="0" applyFill="1" applyBorder="1" applyAlignment="1">
      <alignment horizontal="center"/>
    </xf>
    <xf numFmtId="0" fontId="0" fillId="18" borderId="64" xfId="0" applyFill="1" applyBorder="1" applyAlignment="1">
      <alignment horizontal="center"/>
    </xf>
    <xf numFmtId="0" fontId="0" fillId="18" borderId="54" xfId="0" applyFill="1" applyBorder="1" applyAlignment="1">
      <alignment horizontal="center"/>
    </xf>
    <xf numFmtId="0" fontId="0" fillId="0" borderId="1" xfId="0" applyBorder="1" applyAlignment="1">
      <alignment horizontal="left" wrapText="1"/>
    </xf>
    <xf numFmtId="0" fontId="0" fillId="0" borderId="9" xfId="0" applyBorder="1" applyAlignment="1">
      <alignment horizontal="left" wrapText="1"/>
    </xf>
    <xf numFmtId="0" fontId="0" fillId="0" borderId="2" xfId="0" applyBorder="1" applyAlignment="1">
      <alignment horizontal="left"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0" fillId="0" borderId="3" xfId="0" applyBorder="1" applyAlignment="1">
      <alignment horizontal="left" wrapText="1"/>
    </xf>
    <xf numFmtId="0" fontId="0" fillId="0" borderId="7" xfId="0" applyBorder="1" applyAlignment="1">
      <alignment horizontal="left" wrapText="1"/>
    </xf>
    <xf numFmtId="0" fontId="0" fillId="0" borderId="4" xfId="0" applyBorder="1" applyAlignment="1">
      <alignment horizontal="left" wrapText="1"/>
    </xf>
    <xf numFmtId="0" fontId="0" fillId="0" borderId="0" xfId="0" applyBorder="1" applyAlignment="1">
      <alignment horizontal="left"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wrapText="1"/>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0" fillId="0" borderId="10" xfId="0" applyBorder="1" applyAlignment="1">
      <alignment horizontal="center"/>
    </xf>
    <xf numFmtId="0" fontId="0" fillId="0" borderId="12" xfId="0" applyBorder="1" applyAlignment="1">
      <alignment horizontal="center"/>
    </xf>
    <xf numFmtId="0" fontId="20" fillId="18" borderId="0" xfId="0" applyFont="1" applyFill="1" applyBorder="1" applyAlignment="1">
      <alignment horizontal="center"/>
    </xf>
    <xf numFmtId="0" fontId="13" fillId="0" borderId="15" xfId="0" applyFont="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wrapText="1"/>
    </xf>
    <xf numFmtId="0" fontId="0" fillId="0" borderId="9" xfId="0" applyBorder="1" applyAlignment="1">
      <alignment horizontal="center" wrapText="1"/>
    </xf>
    <xf numFmtId="0" fontId="0" fillId="0" borderId="2" xfId="0" applyBorder="1" applyAlignment="1">
      <alignment horizontal="center" wrapText="1"/>
    </xf>
    <xf numFmtId="0" fontId="0" fillId="29" borderId="0" xfId="0" applyFill="1" applyAlignment="1">
      <alignment horizontal="left"/>
    </xf>
    <xf numFmtId="0" fontId="0" fillId="0" borderId="44" xfId="0" applyBorder="1" applyAlignment="1">
      <alignment horizontal="center"/>
    </xf>
    <xf numFmtId="0" fontId="0" fillId="0" borderId="46" xfId="0" applyBorder="1" applyAlignment="1">
      <alignment horizontal="center"/>
    </xf>
    <xf numFmtId="0" fontId="0" fillId="0" borderId="45" xfId="0" applyBorder="1" applyAlignment="1">
      <alignment horizontal="center"/>
    </xf>
    <xf numFmtId="0" fontId="16" fillId="20" borderId="24" xfId="0" applyFont="1" applyFill="1" applyBorder="1" applyAlignment="1">
      <alignment horizontal="center" vertical="center"/>
    </xf>
    <xf numFmtId="0" fontId="16" fillId="20" borderId="25" xfId="0" applyFont="1" applyFill="1" applyBorder="1" applyAlignment="1">
      <alignment horizontal="center" vertical="center"/>
    </xf>
    <xf numFmtId="0" fontId="0" fillId="20" borderId="25" xfId="0" applyFill="1" applyBorder="1" applyAlignment="1">
      <alignment horizontal="center" vertical="center"/>
    </xf>
    <xf numFmtId="0" fontId="0" fillId="20" borderId="26" xfId="0" applyFill="1" applyBorder="1" applyAlignment="1">
      <alignment horizontal="center" vertical="center"/>
    </xf>
    <xf numFmtId="166" fontId="0" fillId="21" borderId="30" xfId="1" applyNumberFormat="1" applyFont="1" applyFill="1" applyBorder="1" applyAlignment="1">
      <alignment horizontal="center"/>
    </xf>
    <xf numFmtId="166" fontId="0" fillId="21" borderId="31" xfId="1" applyNumberFormat="1" applyFont="1" applyFill="1" applyBorder="1" applyAlignment="1">
      <alignment horizontal="center"/>
    </xf>
    <xf numFmtId="0" fontId="0" fillId="0" borderId="0" xfId="0" applyBorder="1" applyAlignment="1">
      <alignment horizontal="center" wrapText="1"/>
    </xf>
    <xf numFmtId="0" fontId="3" fillId="8" borderId="1" xfId="0" applyFont="1" applyFill="1" applyBorder="1" applyAlignment="1">
      <alignment horizontal="center" vertical="center"/>
    </xf>
    <xf numFmtId="0" fontId="3" fillId="8" borderId="9" xfId="0" applyFont="1" applyFill="1" applyBorder="1" applyAlignment="1">
      <alignment horizontal="center" vertical="center"/>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7" xfId="0" applyBorder="1" applyAlignment="1">
      <alignment horizontal="center"/>
    </xf>
    <xf numFmtId="0" fontId="1" fillId="0" borderId="0" xfId="0" applyFont="1" applyFill="1" applyBorder="1" applyAlignment="1">
      <alignment horizontal="center" vertical="center"/>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2" fontId="10" fillId="0" borderId="0" xfId="0" applyNumberFormat="1" applyFont="1" applyBorder="1" applyAlignment="1">
      <alignment horizontal="left" vertical="top"/>
    </xf>
    <xf numFmtId="0" fontId="0" fillId="21" borderId="0" xfId="0" applyFill="1" applyAlignment="1">
      <alignment horizontal="center"/>
    </xf>
    <xf numFmtId="0" fontId="0" fillId="0" borderId="9" xfId="0" applyBorder="1" applyAlignment="1">
      <alignment horizontal="center"/>
    </xf>
    <xf numFmtId="0" fontId="0" fillId="0" borderId="23" xfId="0" applyBorder="1" applyAlignment="1">
      <alignment horizontal="center"/>
    </xf>
    <xf numFmtId="0" fontId="0" fillId="0" borderId="59" xfId="0" applyBorder="1" applyAlignment="1">
      <alignment horizontal="center"/>
    </xf>
    <xf numFmtId="0" fontId="0" fillId="0" borderId="61" xfId="0" applyBorder="1" applyAlignment="1">
      <alignment horizontal="center"/>
    </xf>
    <xf numFmtId="0" fontId="0" fillId="0" borderId="73"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18" xfId="0" applyBorder="1" applyAlignment="1">
      <alignment horizontal="center"/>
    </xf>
    <xf numFmtId="0" fontId="0" fillId="0" borderId="19" xfId="0" applyBorder="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FF0000"/>
      <color rgb="FFDF41CC"/>
      <color rgb="FFB8FAC0"/>
      <color rgb="FF088236"/>
      <color rgb="FF72F2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Probability that</a:t>
            </a:r>
            <a:r>
              <a:rPr lang="en-US" baseline="0"/>
              <a:t> Donald Trump is Re-Elected</a:t>
            </a:r>
            <a:endParaRPr lang="en-US"/>
          </a:p>
        </c:rich>
      </c:tx>
      <c:overlay val="0"/>
    </c:title>
    <c:autoTitleDeleted val="0"/>
    <c:plotArea>
      <c:layout/>
      <c:lineChart>
        <c:grouping val="standard"/>
        <c:varyColors val="0"/>
        <c:ser>
          <c:idx val="0"/>
          <c:order val="0"/>
          <c:marker>
            <c:symbol val="none"/>
          </c:marker>
          <c:val>
            <c:numRef>
              <c:f>'Simple Example (Binary)'!$G$28:$G$44</c:f>
              <c:numCache>
                <c:formatCode>0.0%</c:formatCode>
                <c:ptCount val="17"/>
                <c:pt idx="0">
                  <c:v>0.5</c:v>
                </c:pt>
                <c:pt idx="1">
                  <c:v>0.53565367083397153</c:v>
                </c:pt>
                <c:pt idx="2">
                  <c:v>0.32865254651727005</c:v>
                </c:pt>
                <c:pt idx="3">
                  <c:v>0.84739133515736897</c:v>
                </c:pt>
                <c:pt idx="4">
                  <c:v>0.5</c:v>
                </c:pt>
                <c:pt idx="5">
                  <c:v>0.88079707797788231</c:v>
                </c:pt>
                <c:pt idx="6">
                  <c:v>0.57094659688346627</c:v>
                </c:pt>
                <c:pt idx="7">
                  <c:v>0.78342090423182409</c:v>
                </c:pt>
                <c:pt idx="8">
                  <c:v>0.36090725483714864</c:v>
                </c:pt>
                <c:pt idx="9">
                  <c:v>0.88079707797788231</c:v>
                </c:pt>
                <c:pt idx="10">
                  <c:v>0.36090725483714881</c:v>
                </c:pt>
                <c:pt idx="11">
                  <c:v>0.5</c:v>
                </c:pt>
                <c:pt idx="12">
                  <c:v>0.95257412682243314</c:v>
                </c:pt>
                <c:pt idx="13">
                  <c:v>0.57094659688346627</c:v>
                </c:pt>
                <c:pt idx="14">
                  <c:v>0.99111341128091202</c:v>
                </c:pt>
                <c:pt idx="15">
                  <c:v>0.99562982045655568</c:v>
                </c:pt>
                <c:pt idx="16">
                  <c:v>1</c:v>
                </c:pt>
              </c:numCache>
            </c:numRef>
          </c:val>
          <c:smooth val="0"/>
          <c:extLst>
            <c:ext xmlns:c16="http://schemas.microsoft.com/office/drawing/2014/chart" uri="{C3380CC4-5D6E-409C-BE32-E72D297353CC}">
              <c16:uniqueId val="{00000000-DD82-4DD3-BEAC-38FEE41726A3}"/>
            </c:ext>
          </c:extLst>
        </c:ser>
        <c:dLbls>
          <c:showLegendKey val="0"/>
          <c:showVal val="0"/>
          <c:showCatName val="0"/>
          <c:showSerName val="0"/>
          <c:showPercent val="0"/>
          <c:showBubbleSize val="0"/>
        </c:dLbls>
        <c:smooth val="0"/>
        <c:axId val="163603968"/>
        <c:axId val="163433856"/>
      </c:lineChart>
      <c:catAx>
        <c:axId val="163603968"/>
        <c:scaling>
          <c:orientation val="minMax"/>
        </c:scaling>
        <c:delete val="0"/>
        <c:axPos val="b"/>
        <c:majorTickMark val="out"/>
        <c:minorTickMark val="none"/>
        <c:tickLblPos val="nextTo"/>
        <c:crossAx val="163433856"/>
        <c:crosses val="autoZero"/>
        <c:auto val="1"/>
        <c:lblAlgn val="ctr"/>
        <c:lblOffset val="100"/>
        <c:noMultiLvlLbl val="0"/>
      </c:catAx>
      <c:valAx>
        <c:axId val="163433856"/>
        <c:scaling>
          <c:orientation val="minMax"/>
          <c:max val="1"/>
        </c:scaling>
        <c:delete val="0"/>
        <c:axPos val="l"/>
        <c:majorGridlines/>
        <c:numFmt formatCode="0.0%" sourceLinked="1"/>
        <c:majorTickMark val="out"/>
        <c:minorTickMark val="none"/>
        <c:tickLblPos val="nextTo"/>
        <c:crossAx val="16360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'Refunding Counterfactual Bets'!$M$28</c:f>
              <c:strCache>
                <c:ptCount val="1"/>
                <c:pt idx="0">
                  <c:v>i=0,0</c:v>
                </c:pt>
              </c:strCache>
            </c:strRef>
          </c:tx>
          <c:marker>
            <c:symbol val="none"/>
          </c:marker>
          <c:val>
            <c:numRef>
              <c:f>'Refunding Counterfactual Bets'!$M$29:$M$42</c:f>
              <c:numCache>
                <c:formatCode>0%</c:formatCode>
                <c:ptCount val="14"/>
                <c:pt idx="0">
                  <c:v>0.25</c:v>
                </c:pt>
                <c:pt idx="1">
                  <c:v>0.25</c:v>
                </c:pt>
                <c:pt idx="2">
                  <c:v>0.25</c:v>
                </c:pt>
                <c:pt idx="3">
                  <c:v>0.10000150634671325</c:v>
                </c:pt>
                <c:pt idx="4">
                  <c:v>5.0672702701916809E-2</c:v>
                </c:pt>
                <c:pt idx="5">
                  <c:v>0.25</c:v>
                </c:pt>
                <c:pt idx="6">
                  <c:v>0.10000150634671325</c:v>
                </c:pt>
                <c:pt idx="7">
                  <c:v>0.10000150127410369</c:v>
                </c:pt>
                <c:pt idx="8">
                  <c:v>5.0005852744513128E-2</c:v>
                </c:pt>
                <c:pt idx="9">
                  <c:v>1.3887943864385394E-11</c:v>
                </c:pt>
                <c:pt idx="10">
                  <c:v>1.3887943864385394E-11</c:v>
                </c:pt>
                <c:pt idx="11">
                  <c:v>1.3887943864385394E-11</c:v>
                </c:pt>
                <c:pt idx="12">
                  <c:v>1.3887943864385394E-11</c:v>
                </c:pt>
                <c:pt idx="13">
                  <c:v>0</c:v>
                </c:pt>
              </c:numCache>
            </c:numRef>
          </c:val>
          <c:smooth val="0"/>
          <c:extLst>
            <c:ext xmlns:c16="http://schemas.microsoft.com/office/drawing/2014/chart" uri="{C3380CC4-5D6E-409C-BE32-E72D297353CC}">
              <c16:uniqueId val="{00000000-167D-4EF8-8D1C-22C761E2B729}"/>
            </c:ext>
          </c:extLst>
        </c:ser>
        <c:ser>
          <c:idx val="2"/>
          <c:order val="1"/>
          <c:tx>
            <c:strRef>
              <c:f>'Refunding Counterfactual Bets'!$N$28</c:f>
              <c:strCache>
                <c:ptCount val="1"/>
                <c:pt idx="0">
                  <c:v>i=0,1</c:v>
                </c:pt>
              </c:strCache>
            </c:strRef>
          </c:tx>
          <c:marker>
            <c:symbol val="none"/>
          </c:marker>
          <c:val>
            <c:numRef>
              <c:f>'Refunding Counterfactual Bets'!$N$29:$N$42</c:f>
              <c:numCache>
                <c:formatCode>0%</c:formatCode>
                <c:ptCount val="14"/>
                <c:pt idx="0">
                  <c:v>0.25</c:v>
                </c:pt>
                <c:pt idx="1">
                  <c:v>0.25</c:v>
                </c:pt>
                <c:pt idx="2">
                  <c:v>0.25</c:v>
                </c:pt>
                <c:pt idx="3">
                  <c:v>0.19999972881778538</c:v>
                </c:pt>
                <c:pt idx="4">
                  <c:v>0.25023610390709966</c:v>
                </c:pt>
                <c:pt idx="5">
                  <c:v>0.25</c:v>
                </c:pt>
                <c:pt idx="6">
                  <c:v>0.19999972881778538</c:v>
                </c:pt>
                <c:pt idx="7">
                  <c:v>0.19999971867295302</c:v>
                </c:pt>
                <c:pt idx="8">
                  <c:v>0.24999816018494284</c:v>
                </c:pt>
                <c:pt idx="9">
                  <c:v>1.3887943864385394E-11</c:v>
                </c:pt>
                <c:pt idx="10">
                  <c:v>1.3887943864385394E-11</c:v>
                </c:pt>
                <c:pt idx="11">
                  <c:v>1.3887943864385394E-11</c:v>
                </c:pt>
                <c:pt idx="12">
                  <c:v>1.3887943864385394E-11</c:v>
                </c:pt>
                <c:pt idx="13">
                  <c:v>0</c:v>
                </c:pt>
              </c:numCache>
            </c:numRef>
          </c:val>
          <c:smooth val="0"/>
          <c:extLst>
            <c:ext xmlns:c16="http://schemas.microsoft.com/office/drawing/2014/chart" uri="{C3380CC4-5D6E-409C-BE32-E72D297353CC}">
              <c16:uniqueId val="{00000001-167D-4EF8-8D1C-22C761E2B729}"/>
            </c:ext>
          </c:extLst>
        </c:ser>
        <c:ser>
          <c:idx val="3"/>
          <c:order val="2"/>
          <c:tx>
            <c:strRef>
              <c:f>'Refunding Counterfactual Bets'!$O$28</c:f>
              <c:strCache>
                <c:ptCount val="1"/>
                <c:pt idx="0">
                  <c:v>i=1,0</c:v>
                </c:pt>
              </c:strCache>
            </c:strRef>
          </c:tx>
          <c:marker>
            <c:symbol val="none"/>
          </c:marker>
          <c:val>
            <c:numRef>
              <c:f>'Refunding Counterfactual Bets'!$O$29:$O$42</c:f>
              <c:numCache>
                <c:formatCode>0%</c:formatCode>
                <c:ptCount val="14"/>
                <c:pt idx="0">
                  <c:v>0.25</c:v>
                </c:pt>
                <c:pt idx="1">
                  <c:v>0.25</c:v>
                </c:pt>
                <c:pt idx="2">
                  <c:v>0.25</c:v>
                </c:pt>
                <c:pt idx="3">
                  <c:v>0.29999914623744173</c:v>
                </c:pt>
                <c:pt idx="4">
                  <c:v>0.34934715113776654</c:v>
                </c:pt>
                <c:pt idx="5">
                  <c:v>0.25</c:v>
                </c:pt>
                <c:pt idx="6">
                  <c:v>0.29999914623744173</c:v>
                </c:pt>
                <c:pt idx="7">
                  <c:v>0.34999877556824549</c:v>
                </c:pt>
                <c:pt idx="8">
                  <c:v>0.34999784230972109</c:v>
                </c:pt>
                <c:pt idx="9">
                  <c:v>0.99999999995833622</c:v>
                </c:pt>
                <c:pt idx="10">
                  <c:v>0.99999999995833622</c:v>
                </c:pt>
                <c:pt idx="11">
                  <c:v>0.99999999995833622</c:v>
                </c:pt>
                <c:pt idx="12">
                  <c:v>0.99999999995833622</c:v>
                </c:pt>
                <c:pt idx="13">
                  <c:v>1</c:v>
                </c:pt>
              </c:numCache>
            </c:numRef>
          </c:val>
          <c:smooth val="0"/>
          <c:extLst>
            <c:ext xmlns:c16="http://schemas.microsoft.com/office/drawing/2014/chart" uri="{C3380CC4-5D6E-409C-BE32-E72D297353CC}">
              <c16:uniqueId val="{00000002-167D-4EF8-8D1C-22C761E2B729}"/>
            </c:ext>
          </c:extLst>
        </c:ser>
        <c:ser>
          <c:idx val="4"/>
          <c:order val="3"/>
          <c:tx>
            <c:strRef>
              <c:f>'Refunding Counterfactual Bets'!$P$28</c:f>
              <c:strCache>
                <c:ptCount val="1"/>
                <c:pt idx="0">
                  <c:v>i=1,1</c:v>
                </c:pt>
              </c:strCache>
            </c:strRef>
          </c:tx>
          <c:marker>
            <c:symbol val="none"/>
          </c:marker>
          <c:val>
            <c:numRef>
              <c:f>'Refunding Counterfactual Bets'!$P$29:$P$42</c:f>
              <c:numCache>
                <c:formatCode>0%</c:formatCode>
                <c:ptCount val="14"/>
                <c:pt idx="0">
                  <c:v>0.25</c:v>
                </c:pt>
                <c:pt idx="1">
                  <c:v>0.25</c:v>
                </c:pt>
                <c:pt idx="2">
                  <c:v>0.25</c:v>
                </c:pt>
                <c:pt idx="3">
                  <c:v>0.39999961859805949</c:v>
                </c:pt>
                <c:pt idx="4">
                  <c:v>0.34974404225321715</c:v>
                </c:pt>
                <c:pt idx="5">
                  <c:v>0.25</c:v>
                </c:pt>
                <c:pt idx="6">
                  <c:v>0.39999961859805949</c:v>
                </c:pt>
                <c:pt idx="7">
                  <c:v>0.35000000448469776</c:v>
                </c:pt>
                <c:pt idx="8">
                  <c:v>0.34999814476082292</c:v>
                </c:pt>
                <c:pt idx="9">
                  <c:v>1.3887943864385394E-11</c:v>
                </c:pt>
                <c:pt idx="10">
                  <c:v>1.3887943864385394E-11</c:v>
                </c:pt>
                <c:pt idx="11">
                  <c:v>1.3887943864385394E-11</c:v>
                </c:pt>
                <c:pt idx="12">
                  <c:v>1.3887943864385394E-11</c:v>
                </c:pt>
                <c:pt idx="13">
                  <c:v>0</c:v>
                </c:pt>
              </c:numCache>
            </c:numRef>
          </c:val>
          <c:smooth val="0"/>
          <c:extLst>
            <c:ext xmlns:c16="http://schemas.microsoft.com/office/drawing/2014/chart" uri="{C3380CC4-5D6E-409C-BE32-E72D297353CC}">
              <c16:uniqueId val="{00000003-167D-4EF8-8D1C-22C761E2B729}"/>
            </c:ext>
          </c:extLst>
        </c:ser>
        <c:dLbls>
          <c:showLegendKey val="0"/>
          <c:showVal val="0"/>
          <c:showCatName val="0"/>
          <c:showSerName val="0"/>
          <c:showPercent val="0"/>
          <c:showBubbleSize val="0"/>
        </c:dLbls>
        <c:smooth val="0"/>
        <c:axId val="168986112"/>
        <c:axId val="163831808"/>
      </c:lineChart>
      <c:catAx>
        <c:axId val="168986112"/>
        <c:scaling>
          <c:orientation val="minMax"/>
        </c:scaling>
        <c:delete val="0"/>
        <c:axPos val="b"/>
        <c:majorTickMark val="out"/>
        <c:minorTickMark val="none"/>
        <c:tickLblPos val="nextTo"/>
        <c:crossAx val="163831808"/>
        <c:crosses val="autoZero"/>
        <c:auto val="1"/>
        <c:lblAlgn val="ctr"/>
        <c:lblOffset val="100"/>
        <c:noMultiLvlLbl val="0"/>
      </c:catAx>
      <c:valAx>
        <c:axId val="163831808"/>
        <c:scaling>
          <c:orientation val="minMax"/>
          <c:max val="1"/>
        </c:scaling>
        <c:delete val="0"/>
        <c:axPos val="l"/>
        <c:majorGridlines/>
        <c:numFmt formatCode="0%" sourceLinked="1"/>
        <c:majorTickMark val="out"/>
        <c:minorTickMark val="none"/>
        <c:tickLblPos val="nextTo"/>
        <c:crossAx val="168986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 Dimension 1</a:t>
            </a:r>
          </a:p>
        </c:rich>
      </c:tx>
      <c:overlay val="0"/>
    </c:title>
    <c:autoTitleDeleted val="0"/>
    <c:plotArea>
      <c:layout/>
      <c:lineChart>
        <c:grouping val="standard"/>
        <c:varyColors val="0"/>
        <c:ser>
          <c:idx val="0"/>
          <c:order val="0"/>
          <c:tx>
            <c:strRef>
              <c:f>'MV Scaled (Explicit)'!$V$28</c:f>
              <c:strCache>
                <c:ptCount val="1"/>
              </c:strCache>
            </c:strRef>
          </c:tx>
          <c:val>
            <c:numRef>
              <c:f>'MV Scaled (Explicit)'!$V$29:$V$38</c:f>
              <c:numCache>
                <c:formatCode>0.00</c:formatCode>
                <c:ptCount val="10"/>
                <c:pt idx="0">
                  <c:v>26</c:v>
                </c:pt>
                <c:pt idx="1">
                  <c:v>37.090811774240237</c:v>
                </c:pt>
                <c:pt idx="2">
                  <c:v>26</c:v>
                </c:pt>
                <c:pt idx="3">
                  <c:v>14.909188225759765</c:v>
                </c:pt>
                <c:pt idx="4">
                  <c:v>14.909188225759765</c:v>
                </c:pt>
                <c:pt idx="5">
                  <c:v>14.909188225759765</c:v>
                </c:pt>
                <c:pt idx="6">
                  <c:v>2</c:v>
                </c:pt>
                <c:pt idx="7">
                  <c:v>14.909188225759765</c:v>
                </c:pt>
                <c:pt idx="8">
                  <c:v>26</c:v>
                </c:pt>
                <c:pt idx="9">
                  <c:v>50</c:v>
                </c:pt>
              </c:numCache>
            </c:numRef>
          </c:val>
          <c:smooth val="0"/>
          <c:extLst>
            <c:ext xmlns:c16="http://schemas.microsoft.com/office/drawing/2014/chart" uri="{C3380CC4-5D6E-409C-BE32-E72D297353CC}">
              <c16:uniqueId val="{00000000-D8C3-4A01-96B9-8D9AB92CAAAC}"/>
            </c:ext>
          </c:extLst>
        </c:ser>
        <c:dLbls>
          <c:showLegendKey val="0"/>
          <c:showVal val="0"/>
          <c:showCatName val="0"/>
          <c:showSerName val="0"/>
          <c:showPercent val="0"/>
          <c:showBubbleSize val="0"/>
        </c:dLbls>
        <c:marker val="1"/>
        <c:smooth val="0"/>
        <c:axId val="170254336"/>
        <c:axId val="163834688"/>
      </c:lineChart>
      <c:catAx>
        <c:axId val="170254336"/>
        <c:scaling>
          <c:orientation val="minMax"/>
        </c:scaling>
        <c:delete val="0"/>
        <c:axPos val="b"/>
        <c:majorTickMark val="out"/>
        <c:minorTickMark val="none"/>
        <c:tickLblPos val="nextTo"/>
        <c:crossAx val="163834688"/>
        <c:crosses val="autoZero"/>
        <c:auto val="1"/>
        <c:lblAlgn val="ctr"/>
        <c:lblOffset val="100"/>
        <c:noMultiLvlLbl val="0"/>
      </c:catAx>
      <c:valAx>
        <c:axId val="163834688"/>
        <c:scaling>
          <c:orientation val="minMax"/>
        </c:scaling>
        <c:delete val="0"/>
        <c:axPos val="l"/>
        <c:majorGridlines/>
        <c:numFmt formatCode="0.00" sourceLinked="1"/>
        <c:majorTickMark val="out"/>
        <c:minorTickMark val="none"/>
        <c:tickLblPos val="nextTo"/>
        <c:crossAx val="17025433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 Dimension 2</a:t>
            </a:r>
          </a:p>
        </c:rich>
      </c:tx>
      <c:overlay val="0"/>
    </c:title>
    <c:autoTitleDeleted val="0"/>
    <c:plotArea>
      <c:layout/>
      <c:lineChart>
        <c:grouping val="standard"/>
        <c:varyColors val="0"/>
        <c:ser>
          <c:idx val="0"/>
          <c:order val="0"/>
          <c:tx>
            <c:strRef>
              <c:f>'MV Scaled (Explicit)'!$X$28</c:f>
              <c:strCache>
                <c:ptCount val="1"/>
              </c:strCache>
            </c:strRef>
          </c:tx>
          <c:val>
            <c:numRef>
              <c:f>'MV Scaled (Explicit)'!$X$29:$X$38</c:f>
              <c:numCache>
                <c:formatCode>0.00</c:formatCode>
                <c:ptCount val="10"/>
                <c:pt idx="0">
                  <c:v>130</c:v>
                </c:pt>
                <c:pt idx="1">
                  <c:v>130.00000000000003</c:v>
                </c:pt>
                <c:pt idx="2">
                  <c:v>225.1992694944706</c:v>
                </c:pt>
                <c:pt idx="3">
                  <c:v>225.1992694944706</c:v>
                </c:pt>
                <c:pt idx="4">
                  <c:v>225.1992694944706</c:v>
                </c:pt>
                <c:pt idx="5">
                  <c:v>225.1992694944706</c:v>
                </c:pt>
                <c:pt idx="6">
                  <c:v>255</c:v>
                </c:pt>
                <c:pt idx="7">
                  <c:v>225.1992694944706</c:v>
                </c:pt>
                <c:pt idx="8">
                  <c:v>72.235355342498778</c:v>
                </c:pt>
                <c:pt idx="9">
                  <c:v>255</c:v>
                </c:pt>
              </c:numCache>
            </c:numRef>
          </c:val>
          <c:smooth val="0"/>
          <c:extLst>
            <c:ext xmlns:c16="http://schemas.microsoft.com/office/drawing/2014/chart" uri="{C3380CC4-5D6E-409C-BE32-E72D297353CC}">
              <c16:uniqueId val="{00000000-94E8-4D17-8F9E-CC38895F2958}"/>
            </c:ext>
          </c:extLst>
        </c:ser>
        <c:dLbls>
          <c:showLegendKey val="0"/>
          <c:showVal val="0"/>
          <c:showCatName val="0"/>
          <c:showSerName val="0"/>
          <c:showPercent val="0"/>
          <c:showBubbleSize val="0"/>
        </c:dLbls>
        <c:marker val="1"/>
        <c:smooth val="0"/>
        <c:axId val="170255872"/>
        <c:axId val="163836416"/>
      </c:lineChart>
      <c:catAx>
        <c:axId val="170255872"/>
        <c:scaling>
          <c:orientation val="minMax"/>
        </c:scaling>
        <c:delete val="0"/>
        <c:axPos val="b"/>
        <c:majorTickMark val="out"/>
        <c:minorTickMark val="none"/>
        <c:tickLblPos val="nextTo"/>
        <c:crossAx val="163836416"/>
        <c:crosses val="autoZero"/>
        <c:auto val="1"/>
        <c:lblAlgn val="ctr"/>
        <c:lblOffset val="100"/>
        <c:noMultiLvlLbl val="0"/>
      </c:catAx>
      <c:valAx>
        <c:axId val="163836416"/>
        <c:scaling>
          <c:orientation val="minMax"/>
        </c:scaling>
        <c:delete val="0"/>
        <c:axPos val="l"/>
        <c:majorGridlines/>
        <c:numFmt formatCode="0.00" sourceLinked="1"/>
        <c:majorTickMark val="out"/>
        <c:minorTickMark val="none"/>
        <c:tickLblPos val="nextTo"/>
        <c:crossAx val="170255872"/>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 Dimension 1</a:t>
            </a:r>
          </a:p>
        </c:rich>
      </c:tx>
      <c:overlay val="0"/>
    </c:title>
    <c:autoTitleDeleted val="0"/>
    <c:plotArea>
      <c:layout/>
      <c:lineChart>
        <c:grouping val="standard"/>
        <c:varyColors val="0"/>
        <c:ser>
          <c:idx val="0"/>
          <c:order val="0"/>
          <c:tx>
            <c:strRef>
              <c:f>'MV Scaled (Standard)'!$W$28</c:f>
              <c:strCache>
                <c:ptCount val="1"/>
              </c:strCache>
            </c:strRef>
          </c:tx>
          <c:val>
            <c:numRef>
              <c:f>'MV Scaled (Standard)'!$W$29:$W$38</c:f>
              <c:numCache>
                <c:formatCode>0.00</c:formatCode>
                <c:ptCount val="10"/>
                <c:pt idx="0">
                  <c:v>26</c:v>
                </c:pt>
                <c:pt idx="1">
                  <c:v>27.199000998989121</c:v>
                </c:pt>
                <c:pt idx="2">
                  <c:v>26</c:v>
                </c:pt>
                <c:pt idx="3">
                  <c:v>24.800999001010883</c:v>
                </c:pt>
                <c:pt idx="4">
                  <c:v>24.800999001010879</c:v>
                </c:pt>
                <c:pt idx="5">
                  <c:v>24.800999001010879</c:v>
                </c:pt>
                <c:pt idx="6">
                  <c:v>2.0053224681273774</c:v>
                </c:pt>
                <c:pt idx="7">
                  <c:v>24.800999001010883</c:v>
                </c:pt>
                <c:pt idx="8">
                  <c:v>27.442109966934613</c:v>
                </c:pt>
                <c:pt idx="9">
                  <c:v>37</c:v>
                </c:pt>
              </c:numCache>
            </c:numRef>
          </c:val>
          <c:smooth val="0"/>
          <c:extLst>
            <c:ext xmlns:c16="http://schemas.microsoft.com/office/drawing/2014/chart" uri="{C3380CC4-5D6E-409C-BE32-E72D297353CC}">
              <c16:uniqueId val="{00000000-16AE-4D10-8604-BD9311BAE5CD}"/>
            </c:ext>
          </c:extLst>
        </c:ser>
        <c:dLbls>
          <c:showLegendKey val="0"/>
          <c:showVal val="0"/>
          <c:showCatName val="0"/>
          <c:showSerName val="0"/>
          <c:showPercent val="0"/>
          <c:showBubbleSize val="0"/>
        </c:dLbls>
        <c:marker val="1"/>
        <c:smooth val="0"/>
        <c:axId val="171718144"/>
        <c:axId val="163838144"/>
      </c:lineChart>
      <c:catAx>
        <c:axId val="171718144"/>
        <c:scaling>
          <c:orientation val="minMax"/>
        </c:scaling>
        <c:delete val="0"/>
        <c:axPos val="b"/>
        <c:majorTickMark val="out"/>
        <c:minorTickMark val="none"/>
        <c:tickLblPos val="nextTo"/>
        <c:crossAx val="163838144"/>
        <c:crosses val="autoZero"/>
        <c:auto val="1"/>
        <c:lblAlgn val="ctr"/>
        <c:lblOffset val="100"/>
        <c:noMultiLvlLbl val="0"/>
      </c:catAx>
      <c:valAx>
        <c:axId val="163838144"/>
        <c:scaling>
          <c:orientation val="minMax"/>
        </c:scaling>
        <c:delete val="0"/>
        <c:axPos val="l"/>
        <c:majorGridlines/>
        <c:numFmt formatCode="0.00" sourceLinked="1"/>
        <c:majorTickMark val="out"/>
        <c:minorTickMark val="none"/>
        <c:tickLblPos val="nextTo"/>
        <c:crossAx val="171718144"/>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 Dimension 2</a:t>
            </a:r>
          </a:p>
        </c:rich>
      </c:tx>
      <c:overlay val="0"/>
    </c:title>
    <c:autoTitleDeleted val="0"/>
    <c:plotArea>
      <c:layout/>
      <c:lineChart>
        <c:grouping val="standard"/>
        <c:varyColors val="0"/>
        <c:ser>
          <c:idx val="0"/>
          <c:order val="0"/>
          <c:tx>
            <c:strRef>
              <c:f>'MV Scaled (Standard)'!$Y$28</c:f>
              <c:strCache>
                <c:ptCount val="1"/>
              </c:strCache>
            </c:strRef>
          </c:tx>
          <c:val>
            <c:numRef>
              <c:f>'MV Scaled (Standard)'!$Y$29:$Y$38</c:f>
              <c:numCache>
                <c:formatCode>0.00</c:formatCode>
                <c:ptCount val="10"/>
                <c:pt idx="0">
                  <c:v>130</c:v>
                </c:pt>
                <c:pt idx="1">
                  <c:v>130</c:v>
                </c:pt>
                <c:pt idx="2">
                  <c:v>142.4584993281195</c:v>
                </c:pt>
                <c:pt idx="3">
                  <c:v>142.4584993281195</c:v>
                </c:pt>
                <c:pt idx="4">
                  <c:v>136.24479686973501</c:v>
                </c:pt>
                <c:pt idx="5">
                  <c:v>142.4584993281195</c:v>
                </c:pt>
                <c:pt idx="6">
                  <c:v>254.97227881183656</c:v>
                </c:pt>
                <c:pt idx="7">
                  <c:v>142.4584993281195</c:v>
                </c:pt>
                <c:pt idx="8">
                  <c:v>122.48901058888221</c:v>
                </c:pt>
                <c:pt idx="9">
                  <c:v>117</c:v>
                </c:pt>
              </c:numCache>
            </c:numRef>
          </c:val>
          <c:smooth val="0"/>
          <c:extLst>
            <c:ext xmlns:c16="http://schemas.microsoft.com/office/drawing/2014/chart" uri="{C3380CC4-5D6E-409C-BE32-E72D297353CC}">
              <c16:uniqueId val="{00000000-5C66-4E5F-8FB4-94709FF58FAB}"/>
            </c:ext>
          </c:extLst>
        </c:ser>
        <c:dLbls>
          <c:showLegendKey val="0"/>
          <c:showVal val="0"/>
          <c:showCatName val="0"/>
          <c:showSerName val="0"/>
          <c:showPercent val="0"/>
          <c:showBubbleSize val="0"/>
        </c:dLbls>
        <c:marker val="1"/>
        <c:smooth val="0"/>
        <c:axId val="171719168"/>
        <c:axId val="170418176"/>
      </c:lineChart>
      <c:catAx>
        <c:axId val="171719168"/>
        <c:scaling>
          <c:orientation val="minMax"/>
        </c:scaling>
        <c:delete val="0"/>
        <c:axPos val="b"/>
        <c:majorTickMark val="out"/>
        <c:minorTickMark val="none"/>
        <c:tickLblPos val="nextTo"/>
        <c:crossAx val="170418176"/>
        <c:crosses val="autoZero"/>
        <c:auto val="1"/>
        <c:lblAlgn val="ctr"/>
        <c:lblOffset val="100"/>
        <c:noMultiLvlLbl val="0"/>
      </c:catAx>
      <c:valAx>
        <c:axId val="170418176"/>
        <c:scaling>
          <c:orientation val="minMax"/>
        </c:scaling>
        <c:delete val="0"/>
        <c:axPos val="l"/>
        <c:majorGridlines/>
        <c:numFmt formatCode="0.00" sourceLinked="1"/>
        <c:majorTickMark val="out"/>
        <c:minorTickMark val="none"/>
        <c:tickLblPos val="nextTo"/>
        <c:crossAx val="17171916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Conditional -- NYSE:GE</a:t>
            </a:r>
            <a:r>
              <a:rPr lang="en-US" baseline="0"/>
              <a:t> on 5/02/2019</a:t>
            </a:r>
          </a:p>
        </c:rich>
      </c:tx>
      <c:layout>
        <c:manualLayout>
          <c:xMode val="edge"/>
          <c:yMode val="edge"/>
          <c:x val="0.20049540256477422"/>
          <c:y val="3.224985333676373E-2"/>
        </c:manualLayout>
      </c:layout>
      <c:overlay val="0"/>
      <c:spPr>
        <a:solidFill>
          <a:schemeClr val="bg1">
            <a:lumMod val="95000"/>
          </a:schemeClr>
        </a:solidFill>
      </c:spPr>
    </c:title>
    <c:autoTitleDeleted val="0"/>
    <c:plotArea>
      <c:layout>
        <c:manualLayout>
          <c:layoutTarget val="inner"/>
          <c:xMode val="edge"/>
          <c:yMode val="edge"/>
          <c:x val="7.9188867526644266E-2"/>
          <c:y val="2.7624569335166844E-2"/>
          <c:w val="0.89823316494942662"/>
          <c:h val="0.87229081255484675"/>
        </c:manualLayout>
      </c:layout>
      <c:lineChart>
        <c:grouping val="standard"/>
        <c:varyColors val="0"/>
        <c:ser>
          <c:idx val="0"/>
          <c:order val="0"/>
          <c:tx>
            <c:strRef>
              <c:f>'US Elections Example'!$AH$92</c:f>
              <c:strCache>
                <c:ptCount val="1"/>
              </c:strCache>
            </c:strRef>
          </c:tx>
          <c:marker>
            <c:symbol val="none"/>
          </c:marker>
          <c:val>
            <c:numRef>
              <c:f>'US Elections Example'!$AP$12:$AP$36</c:f>
              <c:numCache>
                <c:formatCode>0.00</c:formatCode>
                <c:ptCount val="25"/>
              </c:numCache>
            </c:numRef>
          </c:val>
          <c:smooth val="0"/>
          <c:extLst>
            <c:ext xmlns:c16="http://schemas.microsoft.com/office/drawing/2014/chart" uri="{C3380CC4-5D6E-409C-BE32-E72D297353CC}">
              <c16:uniqueId val="{00000000-D6FB-4FD7-9503-0E892E008493}"/>
            </c:ext>
          </c:extLst>
        </c:ser>
        <c:ser>
          <c:idx val="1"/>
          <c:order val="1"/>
          <c:tx>
            <c:strRef>
              <c:f>'US Elections Example'!$AH$93</c:f>
              <c:strCache>
                <c:ptCount val="1"/>
              </c:strCache>
            </c:strRef>
          </c:tx>
          <c:marker>
            <c:symbol val="none"/>
          </c:marker>
          <c:val>
            <c:numRef>
              <c:f>'US Elections Example'!$AQ$12:$AQ$36</c:f>
              <c:numCache>
                <c:formatCode>0.00</c:formatCode>
                <c:ptCount val="25"/>
              </c:numCache>
            </c:numRef>
          </c:val>
          <c:smooth val="0"/>
          <c:extLst>
            <c:ext xmlns:c16="http://schemas.microsoft.com/office/drawing/2014/chart" uri="{C3380CC4-5D6E-409C-BE32-E72D297353CC}">
              <c16:uniqueId val="{00000001-D6FB-4FD7-9503-0E892E008493}"/>
            </c:ext>
          </c:extLst>
        </c:ser>
        <c:dLbls>
          <c:showLegendKey val="0"/>
          <c:showVal val="0"/>
          <c:showCatName val="0"/>
          <c:showSerName val="0"/>
          <c:showPercent val="0"/>
          <c:showBubbleSize val="0"/>
        </c:dLbls>
        <c:smooth val="0"/>
        <c:axId val="115212800"/>
        <c:axId val="164222592"/>
      </c:lineChart>
      <c:catAx>
        <c:axId val="115212800"/>
        <c:scaling>
          <c:orientation val="minMax"/>
        </c:scaling>
        <c:delete val="0"/>
        <c:axPos val="b"/>
        <c:majorTickMark val="out"/>
        <c:minorTickMark val="none"/>
        <c:tickLblPos val="nextTo"/>
        <c:crossAx val="164222592"/>
        <c:crosses val="autoZero"/>
        <c:auto val="1"/>
        <c:lblAlgn val="ctr"/>
        <c:lblOffset val="100"/>
        <c:noMultiLvlLbl val="0"/>
      </c:catAx>
      <c:valAx>
        <c:axId val="164222592"/>
        <c:scaling>
          <c:orientation val="minMax"/>
          <c:max val="50"/>
          <c:min val="2"/>
        </c:scaling>
        <c:delete val="0"/>
        <c:axPos val="l"/>
        <c:majorGridlines/>
        <c:numFmt formatCode="0.00" sourceLinked="1"/>
        <c:majorTickMark val="out"/>
        <c:minorTickMark val="none"/>
        <c:tickLblPos val="nextTo"/>
        <c:crossAx val="115212800"/>
        <c:crosses val="autoZero"/>
        <c:crossBetween val="between"/>
      </c:valAx>
    </c:plotArea>
    <c:legend>
      <c:legendPos val="b"/>
      <c:layout>
        <c:manualLayout>
          <c:xMode val="edge"/>
          <c:yMode val="edge"/>
          <c:x val="9.4514897753604915E-2"/>
          <c:y val="0.74076978296574414"/>
          <c:w val="0.2541294236246322"/>
          <c:h val="0.14635641370205341"/>
        </c:manualLayout>
      </c:layout>
      <c:overlay val="0"/>
      <c:spPr>
        <a:solidFill>
          <a:schemeClr val="bg1">
            <a:lumMod val="95000"/>
          </a:schemeClr>
        </a:solidFill>
      </c:sp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Conditional -- NYSE:GE</a:t>
            </a:r>
            <a:r>
              <a:rPr lang="en-US" baseline="0"/>
              <a:t> on 5/02/2019</a:t>
            </a:r>
          </a:p>
        </c:rich>
      </c:tx>
      <c:layout>
        <c:manualLayout>
          <c:xMode val="edge"/>
          <c:yMode val="edge"/>
          <c:x val="0.20049540256477422"/>
          <c:y val="3.224985333676373E-2"/>
        </c:manualLayout>
      </c:layout>
      <c:overlay val="0"/>
      <c:spPr>
        <a:solidFill>
          <a:schemeClr val="bg1">
            <a:lumMod val="95000"/>
          </a:schemeClr>
        </a:solidFill>
      </c:spPr>
    </c:title>
    <c:autoTitleDeleted val="0"/>
    <c:plotArea>
      <c:layout>
        <c:manualLayout>
          <c:layoutTarget val="inner"/>
          <c:xMode val="edge"/>
          <c:yMode val="edge"/>
          <c:x val="7.9188867526644266E-2"/>
          <c:y val="2.7624569335166844E-2"/>
          <c:w val="0.89823316494942662"/>
          <c:h val="0.87229081255484675"/>
        </c:manualLayout>
      </c:layout>
      <c:lineChart>
        <c:grouping val="standard"/>
        <c:varyColors val="0"/>
        <c:ser>
          <c:idx val="0"/>
          <c:order val="0"/>
          <c:tx>
            <c:strRef>
              <c:f>Futarchy!$V$59</c:f>
              <c:strCache>
                <c:ptCount val="1"/>
                <c:pt idx="0">
                  <c:v>leave | min</c:v>
                </c:pt>
              </c:strCache>
            </c:strRef>
          </c:tx>
          <c:marker>
            <c:symbol val="none"/>
          </c:marker>
          <c:val>
            <c:numRef>
              <c:f>Futarchy!$V$60:$V$84</c:f>
            </c:numRef>
          </c:val>
          <c:smooth val="0"/>
          <c:extLst>
            <c:ext xmlns:c16="http://schemas.microsoft.com/office/drawing/2014/chart" uri="{C3380CC4-5D6E-409C-BE32-E72D297353CC}">
              <c16:uniqueId val="{00000000-A634-4B55-A0FD-633DB95A7449}"/>
            </c:ext>
          </c:extLst>
        </c:ser>
        <c:ser>
          <c:idx val="1"/>
          <c:order val="1"/>
          <c:tx>
            <c:strRef>
              <c:f>Futarchy!$W$59</c:f>
              <c:strCache>
                <c:ptCount val="1"/>
                <c:pt idx="0">
                  <c:v>leave | max</c:v>
                </c:pt>
              </c:strCache>
            </c:strRef>
          </c:tx>
          <c:marker>
            <c:symbol val="none"/>
          </c:marker>
          <c:val>
            <c:numRef>
              <c:f>Futarchy!$W$60:$W$84</c:f>
            </c:numRef>
          </c:val>
          <c:smooth val="0"/>
          <c:extLst>
            <c:ext xmlns:c16="http://schemas.microsoft.com/office/drawing/2014/chart" uri="{C3380CC4-5D6E-409C-BE32-E72D297353CC}">
              <c16:uniqueId val="{00000001-A634-4B55-A0FD-633DB95A7449}"/>
            </c:ext>
          </c:extLst>
        </c:ser>
        <c:dLbls>
          <c:showLegendKey val="0"/>
          <c:showVal val="0"/>
          <c:showCatName val="0"/>
          <c:showSerName val="0"/>
          <c:showPercent val="0"/>
          <c:showBubbleSize val="0"/>
        </c:dLbls>
        <c:marker val="1"/>
        <c:smooth val="0"/>
        <c:axId val="115212800"/>
        <c:axId val="164222592"/>
      </c:lineChart>
      <c:catAx>
        <c:axId val="115212800"/>
        <c:scaling>
          <c:orientation val="minMax"/>
        </c:scaling>
        <c:delete val="0"/>
        <c:axPos val="b"/>
        <c:majorTickMark val="out"/>
        <c:minorTickMark val="none"/>
        <c:tickLblPos val="nextTo"/>
        <c:crossAx val="164222592"/>
        <c:crosses val="autoZero"/>
        <c:auto val="1"/>
        <c:lblAlgn val="ctr"/>
        <c:lblOffset val="100"/>
        <c:noMultiLvlLbl val="0"/>
      </c:catAx>
      <c:valAx>
        <c:axId val="164222592"/>
        <c:scaling>
          <c:orientation val="minMax"/>
          <c:max val="1"/>
        </c:scaling>
        <c:delete val="0"/>
        <c:axPos val="l"/>
        <c:majorGridlines/>
        <c:numFmt formatCode="General" sourceLinked="1"/>
        <c:majorTickMark val="out"/>
        <c:minorTickMark val="none"/>
        <c:tickLblPos val="nextTo"/>
        <c:crossAx val="115212800"/>
        <c:crosses val="autoZero"/>
        <c:crossBetween val="between"/>
      </c:valAx>
    </c:plotArea>
    <c:legend>
      <c:legendPos val="b"/>
      <c:layout>
        <c:manualLayout>
          <c:xMode val="edge"/>
          <c:yMode val="edge"/>
          <c:x val="0.1113612486867777"/>
          <c:y val="0.24175602275953764"/>
          <c:w val="0.21802995435368241"/>
          <c:h val="0.14635641370205341"/>
        </c:manualLayout>
      </c:layout>
      <c:overlay val="0"/>
      <c:spPr>
        <a:solidFill>
          <a:schemeClr val="bg1">
            <a:lumMod val="95000"/>
          </a:schemeClr>
        </a:solidFill>
      </c:sp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'What is the LMSR'!$H$67</c:f>
              <c:strCache>
                <c:ptCount val="1"/>
                <c:pt idx="0">
                  <c:v>i=0,0</c:v>
                </c:pt>
              </c:strCache>
            </c:strRef>
          </c:tx>
          <c:marker>
            <c:symbol val="none"/>
          </c:marker>
          <c:val>
            <c:numRef>
              <c:f>'What is the LMSR'!$H$68:$H$75</c:f>
              <c:numCache>
                <c:formatCode>0%</c:formatCode>
                <c:ptCount val="8"/>
                <c:pt idx="0">
                  <c:v>0.25</c:v>
                </c:pt>
                <c:pt idx="1">
                  <c:v>0.25</c:v>
                </c:pt>
                <c:pt idx="2">
                  <c:v>0.35</c:v>
                </c:pt>
                <c:pt idx="3">
                  <c:v>0.34388908334498003</c:v>
                </c:pt>
                <c:pt idx="4">
                  <c:v>0.33151414279912189</c:v>
                </c:pt>
                <c:pt idx="5">
                  <c:v>0.45792577025660447</c:v>
                </c:pt>
                <c:pt idx="6">
                  <c:v>0.53777481102890734</c:v>
                </c:pt>
                <c:pt idx="7">
                  <c:v>1</c:v>
                </c:pt>
              </c:numCache>
            </c:numRef>
          </c:val>
          <c:smooth val="0"/>
          <c:extLst>
            <c:ext xmlns:c16="http://schemas.microsoft.com/office/drawing/2014/chart" uri="{C3380CC4-5D6E-409C-BE32-E72D297353CC}">
              <c16:uniqueId val="{00000000-69C8-4393-BC17-0D91099F8DBB}"/>
            </c:ext>
          </c:extLst>
        </c:ser>
        <c:ser>
          <c:idx val="2"/>
          <c:order val="1"/>
          <c:tx>
            <c:strRef>
              <c:f>'What is the LMSR'!$I$67</c:f>
              <c:strCache>
                <c:ptCount val="1"/>
                <c:pt idx="0">
                  <c:v>i=0,1</c:v>
                </c:pt>
              </c:strCache>
            </c:strRef>
          </c:tx>
          <c:marker>
            <c:symbol val="none"/>
          </c:marker>
          <c:val>
            <c:numRef>
              <c:f>'What is the LMSR'!$I$68:$I$75</c:f>
              <c:numCache>
                <c:formatCode>0%</c:formatCode>
                <c:ptCount val="8"/>
                <c:pt idx="0">
                  <c:v>0.25</c:v>
                </c:pt>
                <c:pt idx="1">
                  <c:v>0.25</c:v>
                </c:pt>
                <c:pt idx="2">
                  <c:v>0.21203981987370624</c:v>
                </c:pt>
                <c:pt idx="3">
                  <c:v>0.21569600589575436</c:v>
                </c:pt>
                <c:pt idx="4">
                  <c:v>0.22784611611341585</c:v>
                </c:pt>
                <c:pt idx="5">
                  <c:v>0.21630881750738612</c:v>
                </c:pt>
                <c:pt idx="6">
                  <c:v>0.15407506299036422</c:v>
                </c:pt>
                <c:pt idx="7">
                  <c:v>0</c:v>
                </c:pt>
              </c:numCache>
            </c:numRef>
          </c:val>
          <c:smooth val="0"/>
          <c:extLst>
            <c:ext xmlns:c16="http://schemas.microsoft.com/office/drawing/2014/chart" uri="{C3380CC4-5D6E-409C-BE32-E72D297353CC}">
              <c16:uniqueId val="{00000001-69C8-4393-BC17-0D91099F8DBB}"/>
            </c:ext>
          </c:extLst>
        </c:ser>
        <c:ser>
          <c:idx val="3"/>
          <c:order val="2"/>
          <c:tx>
            <c:strRef>
              <c:f>'What is the LMSR'!$J$67</c:f>
              <c:strCache>
                <c:ptCount val="1"/>
                <c:pt idx="0">
                  <c:v>i=1,0</c:v>
                </c:pt>
              </c:strCache>
            </c:strRef>
          </c:tx>
          <c:marker>
            <c:symbol val="none"/>
          </c:marker>
          <c:val>
            <c:numRef>
              <c:f>'What is the LMSR'!$J$68:$J$75</c:f>
              <c:numCache>
                <c:formatCode>0%</c:formatCode>
                <c:ptCount val="8"/>
                <c:pt idx="0">
                  <c:v>0.25</c:v>
                </c:pt>
                <c:pt idx="1">
                  <c:v>0.25</c:v>
                </c:pt>
                <c:pt idx="2">
                  <c:v>0.22855436119830008</c:v>
                </c:pt>
                <c:pt idx="3">
                  <c:v>0.23466526756425818</c:v>
                </c:pt>
                <c:pt idx="4">
                  <c:v>0.23478506339276881</c:v>
                </c:pt>
                <c:pt idx="5">
                  <c:v>0.14866673118077942</c:v>
                </c:pt>
                <c:pt idx="6">
                  <c:v>0.15407506299036422</c:v>
                </c:pt>
                <c:pt idx="7">
                  <c:v>0</c:v>
                </c:pt>
              </c:numCache>
            </c:numRef>
          </c:val>
          <c:smooth val="0"/>
          <c:extLst>
            <c:ext xmlns:c16="http://schemas.microsoft.com/office/drawing/2014/chart" uri="{C3380CC4-5D6E-409C-BE32-E72D297353CC}">
              <c16:uniqueId val="{00000002-69C8-4393-BC17-0D91099F8DBB}"/>
            </c:ext>
          </c:extLst>
        </c:ser>
        <c:ser>
          <c:idx val="4"/>
          <c:order val="3"/>
          <c:tx>
            <c:strRef>
              <c:f>'What is the LMSR'!$K$67</c:f>
              <c:strCache>
                <c:ptCount val="1"/>
                <c:pt idx="0">
                  <c:v>i=1,1</c:v>
                </c:pt>
              </c:strCache>
            </c:strRef>
          </c:tx>
          <c:marker>
            <c:symbol val="none"/>
          </c:marker>
          <c:val>
            <c:numRef>
              <c:f>'What is the LMSR'!$K$68:$K$75</c:f>
              <c:numCache>
                <c:formatCode>0%</c:formatCode>
                <c:ptCount val="8"/>
                <c:pt idx="0">
                  <c:v>0.25</c:v>
                </c:pt>
                <c:pt idx="1">
                  <c:v>0.25</c:v>
                </c:pt>
                <c:pt idx="2">
                  <c:v>0.20940581892799362</c:v>
                </c:pt>
                <c:pt idx="3">
                  <c:v>0.20574964319500744</c:v>
                </c:pt>
                <c:pt idx="4">
                  <c:v>0.20585467769469348</c:v>
                </c:pt>
                <c:pt idx="5">
                  <c:v>0.17709868105523</c:v>
                </c:pt>
                <c:pt idx="6">
                  <c:v>0.15407506299036422</c:v>
                </c:pt>
                <c:pt idx="7">
                  <c:v>0</c:v>
                </c:pt>
              </c:numCache>
            </c:numRef>
          </c:val>
          <c:smooth val="0"/>
          <c:extLst>
            <c:ext xmlns:c16="http://schemas.microsoft.com/office/drawing/2014/chart" uri="{C3380CC4-5D6E-409C-BE32-E72D297353CC}">
              <c16:uniqueId val="{00000003-69C8-4393-BC17-0D91099F8DBB}"/>
            </c:ext>
          </c:extLst>
        </c:ser>
        <c:dLbls>
          <c:showLegendKey val="0"/>
          <c:showVal val="0"/>
          <c:showCatName val="0"/>
          <c:showSerName val="0"/>
          <c:showPercent val="0"/>
          <c:showBubbleSize val="0"/>
        </c:dLbls>
        <c:smooth val="0"/>
        <c:axId val="143073792"/>
        <c:axId val="163436160"/>
      </c:lineChart>
      <c:catAx>
        <c:axId val="143073792"/>
        <c:scaling>
          <c:orientation val="minMax"/>
        </c:scaling>
        <c:delete val="0"/>
        <c:axPos val="b"/>
        <c:majorTickMark val="out"/>
        <c:minorTickMark val="none"/>
        <c:tickLblPos val="nextTo"/>
        <c:crossAx val="163436160"/>
        <c:crosses val="autoZero"/>
        <c:auto val="1"/>
        <c:lblAlgn val="ctr"/>
        <c:lblOffset val="100"/>
        <c:noMultiLvlLbl val="0"/>
      </c:catAx>
      <c:valAx>
        <c:axId val="163436160"/>
        <c:scaling>
          <c:orientation val="minMax"/>
          <c:max val="1"/>
        </c:scaling>
        <c:delete val="0"/>
        <c:axPos val="l"/>
        <c:majorGridlines/>
        <c:numFmt formatCode="0%" sourceLinked="1"/>
        <c:majorTickMark val="out"/>
        <c:minorTickMark val="none"/>
        <c:tickLblPos val="nextTo"/>
        <c:crossAx val="143073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'What is the LMSR'!$AP$67</c:f>
              <c:strCache>
                <c:ptCount val="1"/>
              </c:strCache>
            </c:strRef>
          </c:tx>
          <c:val>
            <c:numRef>
              <c:f>'What is the LMSR'!$AP$68:$AP$74</c:f>
              <c:numCache>
                <c:formatCode>0.0%</c:formatCode>
                <c:ptCount val="7"/>
              </c:numCache>
            </c:numRef>
          </c:val>
          <c:smooth val="0"/>
          <c:extLst>
            <c:ext xmlns:c16="http://schemas.microsoft.com/office/drawing/2014/chart" uri="{C3380CC4-5D6E-409C-BE32-E72D297353CC}">
              <c16:uniqueId val="{00000000-96CE-4B6C-A5DA-ED5F15244E77}"/>
            </c:ext>
          </c:extLst>
        </c:ser>
        <c:ser>
          <c:idx val="1"/>
          <c:order val="1"/>
          <c:tx>
            <c:strRef>
              <c:f>'What is the LMSR'!$AQ$67</c:f>
              <c:strCache>
                <c:ptCount val="1"/>
              </c:strCache>
            </c:strRef>
          </c:tx>
          <c:val>
            <c:numRef>
              <c:f>'What is the LMSR'!$AQ$68:$AQ$74</c:f>
              <c:numCache>
                <c:formatCode>0.0%</c:formatCode>
                <c:ptCount val="7"/>
              </c:numCache>
            </c:numRef>
          </c:val>
          <c:smooth val="0"/>
          <c:extLst>
            <c:ext xmlns:c16="http://schemas.microsoft.com/office/drawing/2014/chart" uri="{C3380CC4-5D6E-409C-BE32-E72D297353CC}">
              <c16:uniqueId val="{00000001-96CE-4B6C-A5DA-ED5F15244E77}"/>
            </c:ext>
          </c:extLst>
        </c:ser>
        <c:ser>
          <c:idx val="2"/>
          <c:order val="2"/>
          <c:tx>
            <c:strRef>
              <c:f>'What is the LMSR'!$AR$67</c:f>
              <c:strCache>
                <c:ptCount val="1"/>
              </c:strCache>
            </c:strRef>
          </c:tx>
          <c:val>
            <c:numRef>
              <c:f>'What is the LMSR'!$AR$68:$AR$74</c:f>
              <c:numCache>
                <c:formatCode>0.0%</c:formatCode>
                <c:ptCount val="7"/>
              </c:numCache>
            </c:numRef>
          </c:val>
          <c:smooth val="0"/>
          <c:extLst>
            <c:ext xmlns:c16="http://schemas.microsoft.com/office/drawing/2014/chart" uri="{C3380CC4-5D6E-409C-BE32-E72D297353CC}">
              <c16:uniqueId val="{00000002-96CE-4B6C-A5DA-ED5F15244E77}"/>
            </c:ext>
          </c:extLst>
        </c:ser>
        <c:ser>
          <c:idx val="3"/>
          <c:order val="3"/>
          <c:tx>
            <c:strRef>
              <c:f>'What is the LMSR'!$AS$67</c:f>
              <c:strCache>
                <c:ptCount val="1"/>
              </c:strCache>
            </c:strRef>
          </c:tx>
          <c:val>
            <c:numRef>
              <c:f>'What is the LMSR'!$AS$68:$AS$74</c:f>
              <c:numCache>
                <c:formatCode>0.0%</c:formatCode>
                <c:ptCount val="7"/>
              </c:numCache>
            </c:numRef>
          </c:val>
          <c:smooth val="0"/>
          <c:extLst>
            <c:ext xmlns:c16="http://schemas.microsoft.com/office/drawing/2014/chart" uri="{C3380CC4-5D6E-409C-BE32-E72D297353CC}">
              <c16:uniqueId val="{00000003-96CE-4B6C-A5DA-ED5F15244E77}"/>
            </c:ext>
          </c:extLst>
        </c:ser>
        <c:dLbls>
          <c:showLegendKey val="0"/>
          <c:showVal val="0"/>
          <c:showCatName val="0"/>
          <c:showSerName val="0"/>
          <c:showPercent val="0"/>
          <c:showBubbleSize val="0"/>
        </c:dLbls>
        <c:marker val="1"/>
        <c:smooth val="0"/>
        <c:axId val="143075840"/>
        <c:axId val="164216832"/>
      </c:lineChart>
      <c:catAx>
        <c:axId val="143075840"/>
        <c:scaling>
          <c:orientation val="minMax"/>
        </c:scaling>
        <c:delete val="0"/>
        <c:axPos val="b"/>
        <c:majorTickMark val="out"/>
        <c:minorTickMark val="none"/>
        <c:tickLblPos val="nextTo"/>
        <c:crossAx val="164216832"/>
        <c:crosses val="autoZero"/>
        <c:auto val="1"/>
        <c:lblAlgn val="ctr"/>
        <c:lblOffset val="100"/>
        <c:noMultiLvlLbl val="0"/>
      </c:catAx>
      <c:valAx>
        <c:axId val="164216832"/>
        <c:scaling>
          <c:orientation val="minMax"/>
        </c:scaling>
        <c:delete val="0"/>
        <c:axPos val="l"/>
        <c:majorGridlines/>
        <c:numFmt formatCode="0.0%" sourceLinked="1"/>
        <c:majorTickMark val="out"/>
        <c:minorTickMark val="none"/>
        <c:tickLblPos val="nextTo"/>
        <c:crossAx val="143075840"/>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'What is the LMSR'!$G$26:$G$33</c:f>
              <c:numCache>
                <c:formatCode>0.0%</c:formatCode>
                <c:ptCount val="8"/>
                <c:pt idx="0">
                  <c:v>0.5</c:v>
                </c:pt>
                <c:pt idx="1">
                  <c:v>0.2689414213699951</c:v>
                </c:pt>
                <c:pt idx="2">
                  <c:v>0.25</c:v>
                </c:pt>
                <c:pt idx="3">
                  <c:v>0.37754066879814541</c:v>
                </c:pt>
                <c:pt idx="4">
                  <c:v>0.21416501695744139</c:v>
                </c:pt>
                <c:pt idx="5">
                  <c:v>0.13010847436299786</c:v>
                </c:pt>
                <c:pt idx="6">
                  <c:v>5.7324175898868741E-2</c:v>
                </c:pt>
                <c:pt idx="7">
                  <c:v>0</c:v>
                </c:pt>
              </c:numCache>
            </c:numRef>
          </c:val>
          <c:smooth val="0"/>
          <c:extLst>
            <c:ext xmlns:c16="http://schemas.microsoft.com/office/drawing/2014/chart" uri="{C3380CC4-5D6E-409C-BE32-E72D297353CC}">
              <c16:uniqueId val="{00000000-3110-4B44-BB98-F48800E1CC30}"/>
            </c:ext>
          </c:extLst>
        </c:ser>
        <c:dLbls>
          <c:showLegendKey val="0"/>
          <c:showVal val="0"/>
          <c:showCatName val="0"/>
          <c:showSerName val="0"/>
          <c:showPercent val="0"/>
          <c:showBubbleSize val="0"/>
        </c:dLbls>
        <c:smooth val="0"/>
        <c:axId val="143076864"/>
        <c:axId val="164219136"/>
      </c:lineChart>
      <c:catAx>
        <c:axId val="143076864"/>
        <c:scaling>
          <c:orientation val="minMax"/>
        </c:scaling>
        <c:delete val="0"/>
        <c:axPos val="b"/>
        <c:majorTickMark val="out"/>
        <c:minorTickMark val="none"/>
        <c:tickLblPos val="nextTo"/>
        <c:crossAx val="164219136"/>
        <c:crosses val="autoZero"/>
        <c:auto val="1"/>
        <c:lblAlgn val="ctr"/>
        <c:lblOffset val="100"/>
        <c:noMultiLvlLbl val="0"/>
      </c:catAx>
      <c:valAx>
        <c:axId val="164219136"/>
        <c:scaling>
          <c:orientation val="minMax"/>
          <c:max val="1"/>
        </c:scaling>
        <c:delete val="0"/>
        <c:axPos val="l"/>
        <c:majorGridlines/>
        <c:numFmt formatCode="0.0%" sourceLinked="1"/>
        <c:majorTickMark val="out"/>
        <c:minorTickMark val="none"/>
        <c:tickLblPos val="nextTo"/>
        <c:crossAx val="143076864"/>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Estimated Trump-2020-Popular-Vote</a:t>
            </a:r>
            <a:r>
              <a:rPr lang="en-US" baseline="0"/>
              <a:t>, Millions of People</a:t>
            </a:r>
          </a:p>
        </c:rich>
      </c:tx>
      <c:overlay val="0"/>
    </c:title>
    <c:autoTitleDeleted val="0"/>
    <c:plotArea>
      <c:layout/>
      <c:lineChart>
        <c:grouping val="standard"/>
        <c:varyColors val="0"/>
        <c:ser>
          <c:idx val="0"/>
          <c:order val="0"/>
          <c:marker>
            <c:symbol val="none"/>
          </c:marker>
          <c:cat>
            <c:numRef>
              <c:f>'Simple Example (Continuous)'!$B$20:$B$29</c:f>
              <c:numCache>
                <c:formatCode>d\-mmm</c:formatCode>
                <c:ptCount val="10"/>
                <c:pt idx="0">
                  <c:v>43831</c:v>
                </c:pt>
                <c:pt idx="1">
                  <c:v>43838</c:v>
                </c:pt>
                <c:pt idx="2">
                  <c:v>43845</c:v>
                </c:pt>
                <c:pt idx="3">
                  <c:v>43852</c:v>
                </c:pt>
                <c:pt idx="4">
                  <c:v>43859</c:v>
                </c:pt>
                <c:pt idx="5">
                  <c:v>43866</c:v>
                </c:pt>
                <c:pt idx="6">
                  <c:v>43873</c:v>
                </c:pt>
                <c:pt idx="7">
                  <c:v>43880</c:v>
                </c:pt>
                <c:pt idx="8">
                  <c:v>43887</c:v>
                </c:pt>
                <c:pt idx="9">
                  <c:v>43894</c:v>
                </c:pt>
              </c:numCache>
            </c:numRef>
          </c:cat>
          <c:val>
            <c:numRef>
              <c:f>'Simple Example (Continuous)'!$G$20:$G$30</c:f>
              <c:numCache>
                <c:formatCode>0.00</c:formatCode>
                <c:ptCount val="11"/>
                <c:pt idx="0">
                  <c:v>260</c:v>
                </c:pt>
                <c:pt idx="1">
                  <c:v>171.98985430986417</c:v>
                </c:pt>
                <c:pt idx="2">
                  <c:v>348.01014569013586</c:v>
                </c:pt>
                <c:pt idx="3">
                  <c:v>260</c:v>
                </c:pt>
                <c:pt idx="4">
                  <c:v>499.78106443325288</c:v>
                </c:pt>
                <c:pt idx="5">
                  <c:v>260</c:v>
                </c:pt>
                <c:pt idx="6">
                  <c:v>104.84433589701408</c:v>
                </c:pt>
                <c:pt idx="7">
                  <c:v>415.15566410298595</c:v>
                </c:pt>
                <c:pt idx="8">
                  <c:v>104.84433589701408</c:v>
                </c:pt>
                <c:pt idx="9">
                  <c:v>24.704651880048022</c:v>
                </c:pt>
                <c:pt idx="10">
                  <c:v>63</c:v>
                </c:pt>
              </c:numCache>
            </c:numRef>
          </c:val>
          <c:smooth val="0"/>
          <c:extLst>
            <c:ext xmlns:c16="http://schemas.microsoft.com/office/drawing/2014/chart" uri="{C3380CC4-5D6E-409C-BE32-E72D297353CC}">
              <c16:uniqueId val="{00000000-E4F7-485B-ADE1-43BDB423FF75}"/>
            </c:ext>
          </c:extLst>
        </c:ser>
        <c:dLbls>
          <c:showLegendKey val="0"/>
          <c:showVal val="0"/>
          <c:showCatName val="0"/>
          <c:showSerName val="0"/>
          <c:showPercent val="0"/>
          <c:showBubbleSize val="0"/>
        </c:dLbls>
        <c:smooth val="0"/>
        <c:axId val="143073280"/>
        <c:axId val="164220864"/>
      </c:lineChart>
      <c:dateAx>
        <c:axId val="143073280"/>
        <c:scaling>
          <c:orientation val="minMax"/>
        </c:scaling>
        <c:delete val="0"/>
        <c:axPos val="b"/>
        <c:numFmt formatCode="d\-mmm" sourceLinked="1"/>
        <c:majorTickMark val="out"/>
        <c:minorTickMark val="none"/>
        <c:tickLblPos val="nextTo"/>
        <c:crossAx val="164220864"/>
        <c:crosses val="autoZero"/>
        <c:auto val="1"/>
        <c:lblOffset val="100"/>
        <c:baseTimeUnit val="days"/>
      </c:dateAx>
      <c:valAx>
        <c:axId val="164220864"/>
        <c:scaling>
          <c:orientation val="minMax"/>
          <c:max val="500"/>
          <c:min val="20"/>
        </c:scaling>
        <c:delete val="0"/>
        <c:axPos val="l"/>
        <c:majorGridlines/>
        <c:numFmt formatCode="0.00" sourceLinked="1"/>
        <c:majorTickMark val="out"/>
        <c:minorTickMark val="none"/>
        <c:tickLblPos val="nextTo"/>
        <c:crossAx val="143073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'Changing b mid-trading'!$AM$8</c:f>
              <c:strCache>
                <c:ptCount val="1"/>
              </c:strCache>
            </c:strRef>
          </c:tx>
          <c:val>
            <c:numRef>
              <c:f>'Changing b mid-trading'!$AM$9:$AM$15</c:f>
              <c:numCache>
                <c:formatCode>0.0%</c:formatCode>
                <c:ptCount val="7"/>
              </c:numCache>
            </c:numRef>
          </c:val>
          <c:smooth val="0"/>
          <c:extLst>
            <c:ext xmlns:c16="http://schemas.microsoft.com/office/drawing/2014/chart" uri="{C3380CC4-5D6E-409C-BE32-E72D297353CC}">
              <c16:uniqueId val="{00000000-408B-46DA-879F-0DAD763417C4}"/>
            </c:ext>
          </c:extLst>
        </c:ser>
        <c:ser>
          <c:idx val="1"/>
          <c:order val="1"/>
          <c:tx>
            <c:strRef>
              <c:f>'Changing b mid-trading'!$AN$8</c:f>
              <c:strCache>
                <c:ptCount val="1"/>
              </c:strCache>
            </c:strRef>
          </c:tx>
          <c:val>
            <c:numRef>
              <c:f>'Changing b mid-trading'!$AN$9:$AN$15</c:f>
              <c:numCache>
                <c:formatCode>0.0%</c:formatCode>
                <c:ptCount val="7"/>
              </c:numCache>
            </c:numRef>
          </c:val>
          <c:smooth val="0"/>
          <c:extLst>
            <c:ext xmlns:c16="http://schemas.microsoft.com/office/drawing/2014/chart" uri="{C3380CC4-5D6E-409C-BE32-E72D297353CC}">
              <c16:uniqueId val="{00000001-408B-46DA-879F-0DAD763417C4}"/>
            </c:ext>
          </c:extLst>
        </c:ser>
        <c:ser>
          <c:idx val="2"/>
          <c:order val="2"/>
          <c:tx>
            <c:strRef>
              <c:f>'Changing b mid-trading'!$AO$8</c:f>
              <c:strCache>
                <c:ptCount val="1"/>
              </c:strCache>
            </c:strRef>
          </c:tx>
          <c:val>
            <c:numRef>
              <c:f>'Changing b mid-trading'!$AO$9:$AO$15</c:f>
              <c:numCache>
                <c:formatCode>0.0%</c:formatCode>
                <c:ptCount val="7"/>
              </c:numCache>
            </c:numRef>
          </c:val>
          <c:smooth val="0"/>
          <c:extLst>
            <c:ext xmlns:c16="http://schemas.microsoft.com/office/drawing/2014/chart" uri="{C3380CC4-5D6E-409C-BE32-E72D297353CC}">
              <c16:uniqueId val="{00000002-408B-46DA-879F-0DAD763417C4}"/>
            </c:ext>
          </c:extLst>
        </c:ser>
        <c:ser>
          <c:idx val="3"/>
          <c:order val="3"/>
          <c:tx>
            <c:strRef>
              <c:f>'Changing b mid-trading'!$AP$8</c:f>
              <c:strCache>
                <c:ptCount val="1"/>
              </c:strCache>
            </c:strRef>
          </c:tx>
          <c:val>
            <c:numRef>
              <c:f>'Changing b mid-trading'!$AP$9:$AP$15</c:f>
              <c:numCache>
                <c:formatCode>0.0%</c:formatCode>
                <c:ptCount val="7"/>
              </c:numCache>
            </c:numRef>
          </c:val>
          <c:smooth val="0"/>
          <c:extLst>
            <c:ext xmlns:c16="http://schemas.microsoft.com/office/drawing/2014/chart" uri="{C3380CC4-5D6E-409C-BE32-E72D297353CC}">
              <c16:uniqueId val="{00000003-408B-46DA-879F-0DAD763417C4}"/>
            </c:ext>
          </c:extLst>
        </c:ser>
        <c:dLbls>
          <c:showLegendKey val="0"/>
          <c:showVal val="0"/>
          <c:showCatName val="0"/>
          <c:showSerName val="0"/>
          <c:showPercent val="0"/>
          <c:showBubbleSize val="0"/>
        </c:dLbls>
        <c:marker val="1"/>
        <c:smooth val="0"/>
        <c:axId val="175421952"/>
        <c:axId val="175279488"/>
      </c:lineChart>
      <c:catAx>
        <c:axId val="175421952"/>
        <c:scaling>
          <c:orientation val="minMax"/>
        </c:scaling>
        <c:delete val="0"/>
        <c:axPos val="b"/>
        <c:majorTickMark val="out"/>
        <c:minorTickMark val="none"/>
        <c:tickLblPos val="nextTo"/>
        <c:crossAx val="175279488"/>
        <c:crosses val="autoZero"/>
        <c:auto val="1"/>
        <c:lblAlgn val="ctr"/>
        <c:lblOffset val="100"/>
        <c:noMultiLvlLbl val="0"/>
      </c:catAx>
      <c:valAx>
        <c:axId val="175279488"/>
        <c:scaling>
          <c:orientation val="minMax"/>
        </c:scaling>
        <c:delete val="0"/>
        <c:axPos val="l"/>
        <c:majorGridlines/>
        <c:numFmt formatCode="0.0%" sourceLinked="1"/>
        <c:majorTickMark val="out"/>
        <c:minorTickMark val="none"/>
        <c:tickLblPos val="nextTo"/>
        <c:crossAx val="175421952"/>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'Liquidity Sensitivity'!$Y$39</c:f>
              <c:strCache>
                <c:ptCount val="1"/>
                <c:pt idx="0">
                  <c:v>Total Pain</c:v>
                </c:pt>
              </c:strCache>
            </c:strRef>
          </c:tx>
          <c:spPr>
            <a:ln w="28575">
              <a:noFill/>
            </a:ln>
          </c:spPr>
          <c:trendline>
            <c:trendlineType val="poly"/>
            <c:order val="2"/>
            <c:dispRSqr val="0"/>
            <c:dispEq val="0"/>
          </c:trendline>
          <c:xVal>
            <c:numRef>
              <c:f>'Liquidity Sensitivity'!$X$40:$X$55</c:f>
              <c:numCache>
                <c:formatCode>0.000000000</c:formatCode>
                <c:ptCount val="16"/>
                <c:pt idx="0">
                  <c:v>0.513862943611199</c:v>
                </c:pt>
                <c:pt idx="1">
                  <c:v>0.99471429846963599</c:v>
                </c:pt>
                <c:pt idx="2">
                  <c:v>0.99988001530026538</c:v>
                </c:pt>
                <c:pt idx="3">
                  <c:v>0.99999518779967045</c:v>
                </c:pt>
                <c:pt idx="4">
                  <c:v>0.513862943611199</c:v>
                </c:pt>
                <c:pt idx="5">
                  <c:v>0.85546223752464423</c:v>
                </c:pt>
                <c:pt idx="6">
                  <c:v>0.95438180930828986</c:v>
                </c:pt>
                <c:pt idx="7">
                  <c:v>0.98483741427957416</c:v>
                </c:pt>
                <c:pt idx="8">
                  <c:v>0.98483741427957416</c:v>
                </c:pt>
                <c:pt idx="9">
                  <c:v>0.99999727955346152</c:v>
                </c:pt>
                <c:pt idx="10">
                  <c:v>0.31814778362083362</c:v>
                </c:pt>
                <c:pt idx="11">
                  <c:v>0.17518166209987412</c:v>
                </c:pt>
                <c:pt idx="12">
                  <c:v>9.0435759925068193E-2</c:v>
                </c:pt>
                <c:pt idx="13">
                  <c:v>0.513862943611199</c:v>
                </c:pt>
                <c:pt idx="14">
                  <c:v>0.513862943611199</c:v>
                </c:pt>
                <c:pt idx="15">
                  <c:v>0.513862943611199</c:v>
                </c:pt>
              </c:numCache>
            </c:numRef>
          </c:xVal>
          <c:yVal>
            <c:numRef>
              <c:f>'Liquidity Sensitivity'!$Y$40:$Y$55</c:f>
              <c:numCache>
                <c:formatCode>0.00000</c:formatCode>
                <c:ptCount val="16"/>
                <c:pt idx="0">
                  <c:v>2.7725887222397994E-2</c:v>
                </c:pt>
                <c:pt idx="1">
                  <c:v>1.4715007599979124E-3</c:v>
                </c:pt>
                <c:pt idx="2">
                  <c:v>5.8571853095656934E-5</c:v>
                </c:pt>
                <c:pt idx="3">
                  <c:v>3.3621506523306977E-6</c:v>
                </c:pt>
                <c:pt idx="4">
                  <c:v>2.7725887222397994E-2</c:v>
                </c:pt>
                <c:pt idx="5">
                  <c:v>1.7121865791070334E-2</c:v>
                </c:pt>
                <c:pt idx="6">
                  <c:v>7.8890252577261677E-3</c:v>
                </c:pt>
                <c:pt idx="7">
                  <c:v>3.4245468547497993E-3</c:v>
                </c:pt>
                <c:pt idx="8">
                  <c:v>3.4245468547497993E-3</c:v>
                </c:pt>
                <c:pt idx="9">
                  <c:v>2.0123854915787831E-6</c:v>
                </c:pt>
                <c:pt idx="10">
                  <c:v>2.4629043679698537E-2</c:v>
                </c:pt>
                <c:pt idx="11">
                  <c:v>1.799146634752824E-2</c:v>
                </c:pt>
                <c:pt idx="12">
                  <c:v>1.1598015104890003E-2</c:v>
                </c:pt>
                <c:pt idx="13">
                  <c:v>2.7725887222397994E-2</c:v>
                </c:pt>
                <c:pt idx="14">
                  <c:v>2.7725887222397994E-2</c:v>
                </c:pt>
                <c:pt idx="15">
                  <c:v>2.7725887222397994E-2</c:v>
                </c:pt>
              </c:numCache>
            </c:numRef>
          </c:yVal>
          <c:smooth val="0"/>
          <c:extLst>
            <c:ext xmlns:c16="http://schemas.microsoft.com/office/drawing/2014/chart" uri="{C3380CC4-5D6E-409C-BE32-E72D297353CC}">
              <c16:uniqueId val="{00000001-4C6F-4C77-99BF-30E363280E4D}"/>
            </c:ext>
          </c:extLst>
        </c:ser>
        <c:dLbls>
          <c:showLegendKey val="0"/>
          <c:showVal val="0"/>
          <c:showCatName val="0"/>
          <c:showSerName val="0"/>
          <c:showPercent val="0"/>
          <c:showBubbleSize val="0"/>
        </c:dLbls>
        <c:axId val="170107456"/>
        <c:axId val="170108032"/>
      </c:scatterChart>
      <c:valAx>
        <c:axId val="170107456"/>
        <c:scaling>
          <c:orientation val="minMax"/>
        </c:scaling>
        <c:delete val="0"/>
        <c:axPos val="b"/>
        <c:numFmt formatCode="0.000000000" sourceLinked="1"/>
        <c:majorTickMark val="out"/>
        <c:minorTickMark val="none"/>
        <c:tickLblPos val="nextTo"/>
        <c:crossAx val="170108032"/>
        <c:crosses val="autoZero"/>
        <c:crossBetween val="midCat"/>
      </c:valAx>
      <c:valAx>
        <c:axId val="170108032"/>
        <c:scaling>
          <c:orientation val="minMax"/>
        </c:scaling>
        <c:delete val="0"/>
        <c:axPos val="l"/>
        <c:majorGridlines/>
        <c:numFmt formatCode="0.00000" sourceLinked="1"/>
        <c:majorTickMark val="out"/>
        <c:minorTickMark val="none"/>
        <c:tickLblPos val="nextTo"/>
        <c:crossAx val="17010745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99079117049744E-2"/>
          <c:y val="2.8963422357300921E-2"/>
          <c:w val="0.63935197558098766"/>
          <c:h val="0.92062544014257941"/>
        </c:manualLayout>
      </c:layout>
      <c:scatterChart>
        <c:scatterStyle val="smoothMarker"/>
        <c:varyColors val="0"/>
        <c:ser>
          <c:idx val="2"/>
          <c:order val="0"/>
          <c:tx>
            <c:strRef>
              <c:f>'Liquidity Sensitivity'!$K$74</c:f>
              <c:strCache>
                <c:ptCount val="1"/>
                <c:pt idx="0">
                  <c:v>Error</c:v>
                </c:pt>
              </c:strCache>
            </c:strRef>
          </c:tx>
          <c:xVal>
            <c:numRef>
              <c:f>'Liquidity Sensitivity'!$G$75:$G$90</c:f>
              <c:numCache>
                <c:formatCode>0%</c:formatCode>
                <c:ptCount val="16"/>
                <c:pt idx="0">
                  <c:v>0.5</c:v>
                </c:pt>
                <c:pt idx="1">
                  <c:v>0.99662240835047589</c:v>
                </c:pt>
                <c:pt idx="2">
                  <c:v>0.99997731432891135</c:v>
                </c:pt>
                <c:pt idx="3">
                  <c:v>0.99999984716940182</c:v>
                </c:pt>
                <c:pt idx="4">
                  <c:v>0.5</c:v>
                </c:pt>
                <c:pt idx="5">
                  <c:v>0.99916259229434723</c:v>
                </c:pt>
                <c:pt idx="6">
                  <c:v>0.99999647805087943</c:v>
                </c:pt>
                <c:pt idx="7">
                  <c:v>0.99999997941088115</c:v>
                </c:pt>
                <c:pt idx="8">
                  <c:v>0.99999999999999956</c:v>
                </c:pt>
                <c:pt idx="9">
                  <c:v>1</c:v>
                </c:pt>
                <c:pt idx="10">
                  <c:v>6.6928509242848554E-3</c:v>
                </c:pt>
                <c:pt idx="11">
                  <c:v>4.5397868702434395E-5</c:v>
                </c:pt>
                <c:pt idx="12">
                  <c:v>3.0590222692562477E-7</c:v>
                </c:pt>
                <c:pt idx="13">
                  <c:v>0.5</c:v>
                </c:pt>
                <c:pt idx="14">
                  <c:v>0.5</c:v>
                </c:pt>
                <c:pt idx="15">
                  <c:v>0.5</c:v>
                </c:pt>
              </c:numCache>
            </c:numRef>
          </c:xVal>
          <c:yVal>
            <c:numRef>
              <c:f>'Liquidity Sensitivity'!$K$75:$K$90</c:f>
              <c:numCache>
                <c:formatCode>0%</c:formatCode>
                <c:ptCount val="16"/>
                <c:pt idx="0">
                  <c:v>1.3862943611198997E-2</c:v>
                </c:pt>
                <c:pt idx="1">
                  <c:v>-1.9081098808398922E-3</c:v>
                </c:pt>
                <c:pt idx="2">
                  <c:v>-9.7299028645969621E-5</c:v>
                </c:pt>
                <c:pt idx="3">
                  <c:v>-4.6593697313745963E-6</c:v>
                </c:pt>
                <c:pt idx="4">
                  <c:v>1.3862943611198997E-2</c:v>
                </c:pt>
                <c:pt idx="5">
                  <c:v>-0.143700354769703</c:v>
                </c:pt>
                <c:pt idx="6">
                  <c:v>-4.561466874258957E-2</c:v>
                </c:pt>
                <c:pt idx="7">
                  <c:v>-1.5162565131306982E-2</c:v>
                </c:pt>
                <c:pt idx="8">
                  <c:v>-1.5162585720425392E-2</c:v>
                </c:pt>
                <c:pt idx="9">
                  <c:v>-2.7204465384844667E-6</c:v>
                </c:pt>
                <c:pt idx="10">
                  <c:v>0.31145493269654878</c:v>
                </c:pt>
                <c:pt idx="11">
                  <c:v>0.17513626423117168</c:v>
                </c:pt>
                <c:pt idx="12">
                  <c:v>9.0435454022841269E-2</c:v>
                </c:pt>
                <c:pt idx="13">
                  <c:v>1.3862943611198997E-2</c:v>
                </c:pt>
                <c:pt idx="14">
                  <c:v>1.3862943611198997E-2</c:v>
                </c:pt>
                <c:pt idx="15">
                  <c:v>1.3862943611198997E-2</c:v>
                </c:pt>
              </c:numCache>
            </c:numRef>
          </c:yVal>
          <c:smooth val="1"/>
          <c:extLst>
            <c:ext xmlns:c16="http://schemas.microsoft.com/office/drawing/2014/chart" uri="{C3380CC4-5D6E-409C-BE32-E72D297353CC}">
              <c16:uniqueId val="{00000000-B6FF-410B-A1E9-328B66566DD3}"/>
            </c:ext>
          </c:extLst>
        </c:ser>
        <c:ser>
          <c:idx val="3"/>
          <c:order val="1"/>
          <c:tx>
            <c:strRef>
              <c:f>'Liquidity Sensitivity'!$L$74</c:f>
              <c:strCache>
                <c:ptCount val="1"/>
                <c:pt idx="0">
                  <c:v>Painfree Error</c:v>
                </c:pt>
              </c:strCache>
            </c:strRef>
          </c:tx>
          <c:xVal>
            <c:numRef>
              <c:f>'Liquidity Sensitivity'!$G$75:$G$90</c:f>
              <c:numCache>
                <c:formatCode>0%</c:formatCode>
                <c:ptCount val="16"/>
                <c:pt idx="0">
                  <c:v>0.5</c:v>
                </c:pt>
                <c:pt idx="1">
                  <c:v>0.99662240835047589</c:v>
                </c:pt>
                <c:pt idx="2">
                  <c:v>0.99997731432891135</c:v>
                </c:pt>
                <c:pt idx="3">
                  <c:v>0.99999984716940182</c:v>
                </c:pt>
                <c:pt idx="4">
                  <c:v>0.5</c:v>
                </c:pt>
                <c:pt idx="5">
                  <c:v>0.99916259229434723</c:v>
                </c:pt>
                <c:pt idx="6">
                  <c:v>0.99999647805087943</c:v>
                </c:pt>
                <c:pt idx="7">
                  <c:v>0.99999997941088115</c:v>
                </c:pt>
                <c:pt idx="8">
                  <c:v>0.99999999999999956</c:v>
                </c:pt>
                <c:pt idx="9">
                  <c:v>1</c:v>
                </c:pt>
                <c:pt idx="10">
                  <c:v>6.6928509242848554E-3</c:v>
                </c:pt>
                <c:pt idx="11">
                  <c:v>4.5397868702434395E-5</c:v>
                </c:pt>
                <c:pt idx="12">
                  <c:v>3.0590222692562477E-7</c:v>
                </c:pt>
                <c:pt idx="13">
                  <c:v>0.5</c:v>
                </c:pt>
                <c:pt idx="14">
                  <c:v>0.5</c:v>
                </c:pt>
                <c:pt idx="15">
                  <c:v>0.5</c:v>
                </c:pt>
              </c:numCache>
            </c:numRef>
          </c:xVal>
          <c:yVal>
            <c:numRef>
              <c:f>'Liquidity Sensitivity'!$L$75:$L$90</c:f>
              <c:numCache>
                <c:formatCode>0%</c:formatCode>
                <c:ptCount val="16"/>
                <c:pt idx="0">
                  <c:v>0</c:v>
                </c:pt>
                <c:pt idx="1">
                  <c:v>-2.6438602608388484E-3</c:v>
                </c:pt>
                <c:pt idx="2">
                  <c:v>-1.2658495519379809E-4</c:v>
                </c:pt>
                <c:pt idx="3">
                  <c:v>-6.3404450575399451E-6</c:v>
                </c:pt>
                <c:pt idx="4">
                  <c:v>0</c:v>
                </c:pt>
                <c:pt idx="5">
                  <c:v>-0.15226128766523817</c:v>
                </c:pt>
                <c:pt idx="6">
                  <c:v>-4.9559181371452654E-2</c:v>
                </c:pt>
                <c:pt idx="7">
                  <c:v>-1.6874838558681882E-2</c:v>
                </c:pt>
                <c:pt idx="8">
                  <c:v>-1.6874859147800292E-2</c:v>
                </c:pt>
                <c:pt idx="9">
                  <c:v>-3.7266392842738583E-6</c:v>
                </c:pt>
                <c:pt idx="10">
                  <c:v>0.29914041085669951</c:v>
                </c:pt>
                <c:pt idx="11">
                  <c:v>0.16614053105740756</c:v>
                </c:pt>
                <c:pt idx="12">
                  <c:v>8.4636446470396268E-2</c:v>
                </c:pt>
                <c:pt idx="13">
                  <c:v>0</c:v>
                </c:pt>
                <c:pt idx="14">
                  <c:v>0</c:v>
                </c:pt>
                <c:pt idx="15">
                  <c:v>0</c:v>
                </c:pt>
              </c:numCache>
            </c:numRef>
          </c:yVal>
          <c:smooth val="1"/>
          <c:extLst>
            <c:ext xmlns:c16="http://schemas.microsoft.com/office/drawing/2014/chart" uri="{C3380CC4-5D6E-409C-BE32-E72D297353CC}">
              <c16:uniqueId val="{00000001-B6FF-410B-A1E9-328B66566DD3}"/>
            </c:ext>
          </c:extLst>
        </c:ser>
        <c:dLbls>
          <c:showLegendKey val="0"/>
          <c:showVal val="0"/>
          <c:showCatName val="0"/>
          <c:showSerName val="0"/>
          <c:showPercent val="0"/>
          <c:showBubbleSize val="0"/>
        </c:dLbls>
        <c:axId val="170109760"/>
        <c:axId val="170110336"/>
      </c:scatterChart>
      <c:valAx>
        <c:axId val="170109760"/>
        <c:scaling>
          <c:orientation val="minMax"/>
        </c:scaling>
        <c:delete val="0"/>
        <c:axPos val="b"/>
        <c:numFmt formatCode="0%" sourceLinked="1"/>
        <c:majorTickMark val="out"/>
        <c:minorTickMark val="none"/>
        <c:tickLblPos val="nextTo"/>
        <c:crossAx val="170110336"/>
        <c:crosses val="autoZero"/>
        <c:crossBetween val="midCat"/>
      </c:valAx>
      <c:valAx>
        <c:axId val="170110336"/>
        <c:scaling>
          <c:orientation val="minMax"/>
        </c:scaling>
        <c:delete val="0"/>
        <c:axPos val="l"/>
        <c:majorGridlines/>
        <c:numFmt formatCode="0%" sourceLinked="1"/>
        <c:majorTickMark val="out"/>
        <c:minorTickMark val="none"/>
        <c:tickLblPos val="nextTo"/>
        <c:crossAx val="1701097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049604940910712E-2"/>
          <c:y val="2.2214014879289284E-2"/>
          <c:w val="0.64307077682202374"/>
          <c:h val="0.94581027099860648"/>
        </c:manualLayout>
      </c:layout>
      <c:bubbleChart>
        <c:varyColors val="0"/>
        <c:ser>
          <c:idx val="0"/>
          <c:order val="0"/>
          <c:tx>
            <c:strRef>
              <c:f>'Liquidity Sensitivity'!$G$74</c:f>
              <c:strCache>
                <c:ptCount val="1"/>
                <c:pt idx="0">
                  <c:v>Old Probability</c:v>
                </c:pt>
              </c:strCache>
            </c:strRef>
          </c:tx>
          <c:spPr>
            <a:solidFill>
              <a:srgbClr val="00B0F0">
                <a:alpha val="47000"/>
              </a:srgbClr>
            </a:solidFill>
          </c:spPr>
          <c:invertIfNegative val="0"/>
          <c:trendline>
            <c:spPr>
              <a:ln>
                <a:solidFill>
                  <a:schemeClr val="accent1"/>
                </a:solidFill>
              </a:ln>
            </c:spPr>
            <c:trendlineType val="movingAvg"/>
            <c:period val="2"/>
            <c:dispRSqr val="0"/>
            <c:dispEq val="0"/>
          </c:trendline>
          <c:xVal>
            <c:strRef>
              <c:f>'Liquidity Sensitivity'!$E$74:$E$90</c:f>
              <c:strCache>
                <c:ptCount val="17"/>
                <c:pt idx="0">
                  <c:v>Time</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strCache>
            </c:strRef>
          </c:xVal>
          <c:yVal>
            <c:numRef>
              <c:f>'Liquidity Sensitivity'!$G$74:$G$90</c:f>
              <c:numCache>
                <c:formatCode>0%</c:formatCode>
                <c:ptCount val="17"/>
                <c:pt idx="0">
                  <c:v>0</c:v>
                </c:pt>
                <c:pt idx="1">
                  <c:v>0.5</c:v>
                </c:pt>
                <c:pt idx="2">
                  <c:v>0.99662240835047589</c:v>
                </c:pt>
                <c:pt idx="3">
                  <c:v>0.99997731432891135</c:v>
                </c:pt>
                <c:pt idx="4">
                  <c:v>0.99999984716940182</c:v>
                </c:pt>
                <c:pt idx="5">
                  <c:v>0.5</c:v>
                </c:pt>
                <c:pt idx="6">
                  <c:v>0.99916259229434723</c:v>
                </c:pt>
                <c:pt idx="7">
                  <c:v>0.99999647805087943</c:v>
                </c:pt>
                <c:pt idx="8">
                  <c:v>0.99999997941088115</c:v>
                </c:pt>
                <c:pt idx="9">
                  <c:v>0.99999999999999956</c:v>
                </c:pt>
                <c:pt idx="10">
                  <c:v>1</c:v>
                </c:pt>
                <c:pt idx="11">
                  <c:v>6.6928509242848554E-3</c:v>
                </c:pt>
                <c:pt idx="12">
                  <c:v>4.5397868702434395E-5</c:v>
                </c:pt>
                <c:pt idx="13">
                  <c:v>3.0590222692562477E-7</c:v>
                </c:pt>
                <c:pt idx="14">
                  <c:v>0.5</c:v>
                </c:pt>
                <c:pt idx="15">
                  <c:v>0.5</c:v>
                </c:pt>
                <c:pt idx="16">
                  <c:v>0.5</c:v>
                </c:pt>
              </c:numCache>
            </c:numRef>
          </c:yVal>
          <c:bubbleSize>
            <c:numRef>
              <c:f>'Liquidity Sensitivity'!$F$74:$F$90</c:f>
              <c:numCache>
                <c:formatCode>0.0</c:formatCode>
                <c:ptCount val="17"/>
                <c:pt idx="0" formatCode="General">
                  <c:v>0</c:v>
                </c:pt>
                <c:pt idx="1">
                  <c:v>0.63678639723971031</c:v>
                </c:pt>
                <c:pt idx="2">
                  <c:v>0.81462718759901964</c:v>
                </c:pt>
                <c:pt idx="3">
                  <c:v>0.9655428903769836</c:v>
                </c:pt>
                <c:pt idx="4">
                  <c:v>1.0966413755533355</c:v>
                </c:pt>
                <c:pt idx="5">
                  <c:v>2.0230807583596011</c:v>
                </c:pt>
                <c:pt idx="6">
                  <c:v>2.07058545144793</c:v>
                </c:pt>
                <c:pt idx="7">
                  <c:v>2.1159354053470469</c:v>
                </c:pt>
                <c:pt idx="8">
                  <c:v>2.1593177571036133</c:v>
                </c:pt>
                <c:pt idx="9">
                  <c:v>2.8524649376635582</c:v>
                </c:pt>
                <c:pt idx="10">
                  <c:v>1.9957323928066635</c:v>
                </c:pt>
                <c:pt idx="11">
                  <c:v>2.448251200222316</c:v>
                </c:pt>
                <c:pt idx="12">
                  <c:v>2.4727538318933631</c:v>
                </c:pt>
                <c:pt idx="13">
                  <c:v>2.4998784559966865</c:v>
                </c:pt>
                <c:pt idx="14">
                  <c:v>2.0230807583596011</c:v>
                </c:pt>
                <c:pt idx="15">
                  <c:v>1.9717874639720505</c:v>
                </c:pt>
                <c:pt idx="16">
                  <c:v>2.0230807583596011</c:v>
                </c:pt>
              </c:numCache>
            </c:numRef>
          </c:bubbleSize>
          <c:bubble3D val="0"/>
          <c:extLst>
            <c:ext xmlns:c16="http://schemas.microsoft.com/office/drawing/2014/chart" uri="{C3380CC4-5D6E-409C-BE32-E72D297353CC}">
              <c16:uniqueId val="{00000001-B3CC-4203-9158-263A433DB108}"/>
            </c:ext>
          </c:extLst>
        </c:ser>
        <c:ser>
          <c:idx val="1"/>
          <c:order val="1"/>
          <c:tx>
            <c:strRef>
              <c:f>'Liquidity Sensitivity'!$I$74</c:f>
              <c:strCache>
                <c:ptCount val="1"/>
                <c:pt idx="0">
                  <c:v>New Probability</c:v>
                </c:pt>
              </c:strCache>
            </c:strRef>
          </c:tx>
          <c:spPr>
            <a:solidFill>
              <a:srgbClr val="FF0000">
                <a:alpha val="33000"/>
              </a:srgbClr>
            </a:solidFill>
            <a:ln w="25400">
              <a:noFill/>
            </a:ln>
          </c:spPr>
          <c:invertIfNegative val="0"/>
          <c:trendline>
            <c:spPr>
              <a:ln>
                <a:solidFill>
                  <a:srgbClr val="FF0000"/>
                </a:solidFill>
              </a:ln>
            </c:spPr>
            <c:trendlineType val="movingAvg"/>
            <c:period val="2"/>
            <c:dispRSqr val="0"/>
            <c:dispEq val="0"/>
          </c:trendline>
          <c:xVal>
            <c:strRef>
              <c:f>'Liquidity Sensitivity'!$E$74:$E$90</c:f>
              <c:strCache>
                <c:ptCount val="17"/>
                <c:pt idx="0">
                  <c:v>Time</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strCache>
            </c:strRef>
          </c:xVal>
          <c:yVal>
            <c:numRef>
              <c:f>'Liquidity Sensitivity'!$I$74:$I$90</c:f>
              <c:numCache>
                <c:formatCode>0%</c:formatCode>
                <c:ptCount val="17"/>
                <c:pt idx="0">
                  <c:v>0</c:v>
                </c:pt>
                <c:pt idx="1">
                  <c:v>0.513862943611199</c:v>
                </c:pt>
                <c:pt idx="2">
                  <c:v>0.99471429846963599</c:v>
                </c:pt>
                <c:pt idx="3">
                  <c:v>0.99988001530026538</c:v>
                </c:pt>
                <c:pt idx="4">
                  <c:v>0.99999518779967045</c:v>
                </c:pt>
                <c:pt idx="5">
                  <c:v>0.513862943611199</c:v>
                </c:pt>
                <c:pt idx="6">
                  <c:v>0.85546223752464423</c:v>
                </c:pt>
                <c:pt idx="7">
                  <c:v>0.95438180930828986</c:v>
                </c:pt>
                <c:pt idx="8">
                  <c:v>0.98483741427957416</c:v>
                </c:pt>
                <c:pt idx="9">
                  <c:v>0.98483741427957416</c:v>
                </c:pt>
                <c:pt idx="10">
                  <c:v>0.99999727955346152</c:v>
                </c:pt>
                <c:pt idx="11">
                  <c:v>0.31814778362083362</c:v>
                </c:pt>
                <c:pt idx="12">
                  <c:v>0.17518166209987412</c:v>
                </c:pt>
                <c:pt idx="13">
                  <c:v>9.0435759925068193E-2</c:v>
                </c:pt>
                <c:pt idx="14">
                  <c:v>0.513862943611199</c:v>
                </c:pt>
                <c:pt idx="15">
                  <c:v>0.513862943611199</c:v>
                </c:pt>
                <c:pt idx="16">
                  <c:v>0.513862943611199</c:v>
                </c:pt>
              </c:numCache>
            </c:numRef>
          </c:yVal>
          <c:bubbleSize>
            <c:numRef>
              <c:f>'Liquidity Sensitivity'!$H$74:$H$90</c:f>
              <c:numCache>
                <c:formatCode>0.0</c:formatCode>
                <c:ptCount val="17"/>
                <c:pt idx="0" formatCode="General">
                  <c:v>0</c:v>
                </c:pt>
                <c:pt idx="1">
                  <c:v>0.63678639723971031</c:v>
                </c:pt>
                <c:pt idx="2">
                  <c:v>0.81462718759901964</c:v>
                </c:pt>
                <c:pt idx="3">
                  <c:v>0.9655428903769836</c:v>
                </c:pt>
                <c:pt idx="4">
                  <c:v>1.0966413755533355</c:v>
                </c:pt>
                <c:pt idx="5">
                  <c:v>2.0230807583596011</c:v>
                </c:pt>
                <c:pt idx="6">
                  <c:v>2.07058545144793</c:v>
                </c:pt>
                <c:pt idx="7">
                  <c:v>2.1159354053470469</c:v>
                </c:pt>
                <c:pt idx="8">
                  <c:v>2.1593177571036133</c:v>
                </c:pt>
                <c:pt idx="9">
                  <c:v>2.8524649376635582</c:v>
                </c:pt>
                <c:pt idx="10">
                  <c:v>1.9957323928066635</c:v>
                </c:pt>
                <c:pt idx="11">
                  <c:v>2.448251200222316</c:v>
                </c:pt>
                <c:pt idx="12">
                  <c:v>2.4727538318933631</c:v>
                </c:pt>
                <c:pt idx="13">
                  <c:v>2.4998784559966865</c:v>
                </c:pt>
                <c:pt idx="14">
                  <c:v>2.0230807583596011</c:v>
                </c:pt>
                <c:pt idx="15">
                  <c:v>1.9717874639720505</c:v>
                </c:pt>
                <c:pt idx="16">
                  <c:v>2.0230807583596011</c:v>
                </c:pt>
              </c:numCache>
            </c:numRef>
          </c:bubbleSize>
          <c:bubble3D val="0"/>
          <c:extLst>
            <c:ext xmlns:c16="http://schemas.microsoft.com/office/drawing/2014/chart" uri="{C3380CC4-5D6E-409C-BE32-E72D297353CC}">
              <c16:uniqueId val="{00000003-B3CC-4203-9158-263A433DB108}"/>
            </c:ext>
          </c:extLst>
        </c:ser>
        <c:dLbls>
          <c:showLegendKey val="0"/>
          <c:showVal val="0"/>
          <c:showCatName val="0"/>
          <c:showSerName val="0"/>
          <c:showPercent val="0"/>
          <c:showBubbleSize val="0"/>
        </c:dLbls>
        <c:bubbleScale val="20"/>
        <c:showNegBubbles val="0"/>
        <c:sizeRepresents val="w"/>
        <c:axId val="170112640"/>
        <c:axId val="170113216"/>
      </c:bubbleChart>
      <c:valAx>
        <c:axId val="170112640"/>
        <c:scaling>
          <c:orientation val="minMax"/>
        </c:scaling>
        <c:delete val="0"/>
        <c:axPos val="b"/>
        <c:majorTickMark val="out"/>
        <c:minorTickMark val="none"/>
        <c:tickLblPos val="nextTo"/>
        <c:crossAx val="170113216"/>
        <c:crosses val="autoZero"/>
        <c:crossBetween val="midCat"/>
      </c:valAx>
      <c:valAx>
        <c:axId val="170113216"/>
        <c:scaling>
          <c:orientation val="minMax"/>
        </c:scaling>
        <c:delete val="0"/>
        <c:axPos val="l"/>
        <c:majorGridlines/>
        <c:numFmt formatCode="0%" sourceLinked="1"/>
        <c:majorTickMark val="out"/>
        <c:minorTickMark val="none"/>
        <c:tickLblPos val="nextTo"/>
        <c:crossAx val="1701126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'Liquidity Sensitivity'!$Y$14</c:f>
              <c:strCache>
                <c:ptCount val="1"/>
                <c:pt idx="0">
                  <c:v>Pain</c:v>
                </c:pt>
              </c:strCache>
            </c:strRef>
          </c:tx>
          <c:trendline>
            <c:trendlineType val="poly"/>
            <c:order val="2"/>
            <c:dispRSqr val="0"/>
            <c:dispEq val="0"/>
          </c:trendline>
          <c:xVal>
            <c:numRef>
              <c:f>'Liquidity Sensitivity'!$X$15:$X$30</c:f>
              <c:numCache>
                <c:formatCode>0.00</c:formatCode>
                <c:ptCount val="16"/>
                <c:pt idx="0">
                  <c:v>0.5</c:v>
                </c:pt>
                <c:pt idx="1">
                  <c:v>0.99662240835047589</c:v>
                </c:pt>
                <c:pt idx="2">
                  <c:v>0.99997731432891135</c:v>
                </c:pt>
                <c:pt idx="3">
                  <c:v>0.99999984716940182</c:v>
                </c:pt>
                <c:pt idx="4">
                  <c:v>0.5</c:v>
                </c:pt>
                <c:pt idx="5">
                  <c:v>0.99916259229434723</c:v>
                </c:pt>
                <c:pt idx="6">
                  <c:v>0.99999647805087943</c:v>
                </c:pt>
                <c:pt idx="7">
                  <c:v>0.99999997941088115</c:v>
                </c:pt>
                <c:pt idx="8">
                  <c:v>0.99999999999999956</c:v>
                </c:pt>
                <c:pt idx="9">
                  <c:v>1</c:v>
                </c:pt>
                <c:pt idx="10">
                  <c:v>6.6928509242848554E-3</c:v>
                </c:pt>
                <c:pt idx="11">
                  <c:v>4.5397868702434395E-5</c:v>
                </c:pt>
                <c:pt idx="12">
                  <c:v>3.0590222692562477E-7</c:v>
                </c:pt>
                <c:pt idx="13">
                  <c:v>0.5</c:v>
                </c:pt>
                <c:pt idx="14">
                  <c:v>0.5</c:v>
                </c:pt>
                <c:pt idx="15">
                  <c:v>0.5</c:v>
                </c:pt>
              </c:numCache>
            </c:numRef>
          </c:xVal>
          <c:yVal>
            <c:numRef>
              <c:f>'Liquidity Sensitivity'!$Y$15:$Y$30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yVal>
          <c:smooth val="1"/>
          <c:extLst>
            <c:ext xmlns:c16="http://schemas.microsoft.com/office/drawing/2014/chart" uri="{C3380CC4-5D6E-409C-BE32-E72D297353CC}">
              <c16:uniqueId val="{00000001-C078-4CFE-814E-810E767FB06E}"/>
            </c:ext>
          </c:extLst>
        </c:ser>
        <c:dLbls>
          <c:showLegendKey val="0"/>
          <c:showVal val="0"/>
          <c:showCatName val="0"/>
          <c:showSerName val="0"/>
          <c:showPercent val="0"/>
          <c:showBubbleSize val="0"/>
        </c:dLbls>
        <c:axId val="175276608"/>
        <c:axId val="175277184"/>
      </c:scatterChart>
      <c:valAx>
        <c:axId val="175276608"/>
        <c:scaling>
          <c:orientation val="minMax"/>
          <c:min val="0"/>
        </c:scaling>
        <c:delete val="0"/>
        <c:axPos val="b"/>
        <c:numFmt formatCode="0.00" sourceLinked="1"/>
        <c:majorTickMark val="out"/>
        <c:minorTickMark val="none"/>
        <c:tickLblPos val="nextTo"/>
        <c:crossAx val="175277184"/>
        <c:crosses val="autoZero"/>
        <c:crossBetween val="midCat"/>
      </c:valAx>
      <c:valAx>
        <c:axId val="175277184"/>
        <c:scaling>
          <c:orientation val="minMax"/>
          <c:max val="0.30000000000000004"/>
        </c:scaling>
        <c:delete val="0"/>
        <c:axPos val="l"/>
        <c:majorGridlines/>
        <c:numFmt formatCode="General" sourceLinked="1"/>
        <c:majorTickMark val="out"/>
        <c:minorTickMark val="none"/>
        <c:tickLblPos val="nextTo"/>
        <c:crossAx val="175276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Call Option Payoff - Synthetic</a:t>
            </a:r>
          </a:p>
        </c:rich>
      </c:tx>
      <c:overlay val="0"/>
    </c:title>
    <c:autoTitleDeleted val="0"/>
    <c:plotArea>
      <c:layout/>
      <c:scatterChart>
        <c:scatterStyle val="lineMarker"/>
        <c:varyColors val="0"/>
        <c:ser>
          <c:idx val="1"/>
          <c:order val="0"/>
          <c:tx>
            <c:strRef>
              <c:f>'Derivatives and Leverage'!$F$67</c:f>
              <c:strCache>
                <c:ptCount val="1"/>
                <c:pt idx="0">
                  <c:v>Value</c:v>
                </c:pt>
              </c:strCache>
            </c:strRef>
          </c:tx>
          <c:xVal>
            <c:numRef>
              <c:f>'Derivatives and Leverage'!$E$68:$E$92</c:f>
              <c:numCache>
                <c:formatCode>0.00</c:formatCode>
                <c:ptCount val="25"/>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pt idx="24">
                  <c:v>1</c:v>
                </c:pt>
              </c:numCache>
            </c:numRef>
          </c:xVal>
          <c:yVal>
            <c:numRef>
              <c:f>'Derivatives and Leverage'!$F$68:$F$92</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4.1666666666666741E-2</c:v>
                </c:pt>
                <c:pt idx="15">
                  <c:v>8.333333333333337E-2</c:v>
                </c:pt>
                <c:pt idx="16">
                  <c:v>0.125</c:v>
                </c:pt>
                <c:pt idx="17">
                  <c:v>0.16666666666666674</c:v>
                </c:pt>
                <c:pt idx="18">
                  <c:v>0.20833333333333337</c:v>
                </c:pt>
                <c:pt idx="19">
                  <c:v>0.25</c:v>
                </c:pt>
                <c:pt idx="20">
                  <c:v>0.29166666666666674</c:v>
                </c:pt>
                <c:pt idx="21">
                  <c:v>0.33333333333333337</c:v>
                </c:pt>
                <c:pt idx="22">
                  <c:v>0.375</c:v>
                </c:pt>
                <c:pt idx="23">
                  <c:v>0.41666666666666674</c:v>
                </c:pt>
                <c:pt idx="24">
                  <c:v>0.45833333333333337</c:v>
                </c:pt>
              </c:numCache>
            </c:numRef>
          </c:yVal>
          <c:smooth val="0"/>
          <c:extLst>
            <c:ext xmlns:c16="http://schemas.microsoft.com/office/drawing/2014/chart" uri="{C3380CC4-5D6E-409C-BE32-E72D297353CC}">
              <c16:uniqueId val="{00000000-1F8E-4460-AE68-4A17E690297E}"/>
            </c:ext>
          </c:extLst>
        </c:ser>
        <c:dLbls>
          <c:showLegendKey val="0"/>
          <c:showVal val="0"/>
          <c:showCatName val="0"/>
          <c:showSerName val="0"/>
          <c:showPercent val="0"/>
          <c:showBubbleSize val="0"/>
        </c:dLbls>
        <c:axId val="170420480"/>
        <c:axId val="170421056"/>
      </c:scatterChart>
      <c:valAx>
        <c:axId val="170420480"/>
        <c:scaling>
          <c:orientation val="minMax"/>
        </c:scaling>
        <c:delete val="0"/>
        <c:axPos val="b"/>
        <c:numFmt formatCode="0.00" sourceLinked="1"/>
        <c:majorTickMark val="out"/>
        <c:minorTickMark val="none"/>
        <c:tickLblPos val="nextTo"/>
        <c:crossAx val="170421056"/>
        <c:crosses val="autoZero"/>
        <c:crossBetween val="midCat"/>
      </c:valAx>
      <c:valAx>
        <c:axId val="170421056"/>
        <c:scaling>
          <c:orientation val="minMax"/>
        </c:scaling>
        <c:delete val="0"/>
        <c:axPos val="l"/>
        <c:majorGridlines/>
        <c:numFmt formatCode="0.00" sourceLinked="1"/>
        <c:majorTickMark val="out"/>
        <c:minorTickMark val="none"/>
        <c:tickLblPos val="nextTo"/>
        <c:crossAx val="170420480"/>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Call</a:t>
            </a:r>
            <a:r>
              <a:rPr lang="en-US" baseline="0"/>
              <a:t> Option Payoff - </a:t>
            </a:r>
            <a:r>
              <a:rPr lang="en-US"/>
              <a:t>Real World</a:t>
            </a:r>
          </a:p>
        </c:rich>
      </c:tx>
      <c:overlay val="0"/>
    </c:title>
    <c:autoTitleDeleted val="0"/>
    <c:plotArea>
      <c:layout/>
      <c:scatterChart>
        <c:scatterStyle val="lineMarker"/>
        <c:varyColors val="0"/>
        <c:ser>
          <c:idx val="1"/>
          <c:order val="1"/>
          <c:tx>
            <c:strRef>
              <c:f>'Derivatives and Leverage'!$D$67</c:f>
              <c:strCache>
                <c:ptCount val="1"/>
                <c:pt idx="0">
                  <c:v>Value</c:v>
                </c:pt>
              </c:strCache>
            </c:strRef>
          </c:tx>
          <c:xVal>
            <c:numRef>
              <c:f>'Derivatives and Leverage'!$C$68:$C$92</c:f>
              <c:numCache>
                <c:formatCode>General</c:formatCode>
                <c:ptCount val="25"/>
                <c:pt idx="0">
                  <c:v>8</c:v>
                </c:pt>
                <c:pt idx="1">
                  <c:v>8.5</c:v>
                </c:pt>
                <c:pt idx="2">
                  <c:v>9</c:v>
                </c:pt>
                <c:pt idx="3">
                  <c:v>9.5</c:v>
                </c:pt>
                <c:pt idx="4">
                  <c:v>10</c:v>
                </c:pt>
                <c:pt idx="5">
                  <c:v>10.5</c:v>
                </c:pt>
                <c:pt idx="6">
                  <c:v>11</c:v>
                </c:pt>
                <c:pt idx="7">
                  <c:v>11.5</c:v>
                </c:pt>
                <c:pt idx="8">
                  <c:v>12</c:v>
                </c:pt>
                <c:pt idx="9">
                  <c:v>12.5</c:v>
                </c:pt>
                <c:pt idx="10">
                  <c:v>13</c:v>
                </c:pt>
                <c:pt idx="11">
                  <c:v>13.5</c:v>
                </c:pt>
                <c:pt idx="12">
                  <c:v>14</c:v>
                </c:pt>
                <c:pt idx="13">
                  <c:v>14.5</c:v>
                </c:pt>
                <c:pt idx="14">
                  <c:v>15</c:v>
                </c:pt>
                <c:pt idx="15">
                  <c:v>15.5</c:v>
                </c:pt>
                <c:pt idx="16">
                  <c:v>16</c:v>
                </c:pt>
                <c:pt idx="17">
                  <c:v>16.5</c:v>
                </c:pt>
                <c:pt idx="18">
                  <c:v>17</c:v>
                </c:pt>
                <c:pt idx="19">
                  <c:v>17.5</c:v>
                </c:pt>
                <c:pt idx="20">
                  <c:v>18</c:v>
                </c:pt>
                <c:pt idx="21">
                  <c:v>18.5</c:v>
                </c:pt>
                <c:pt idx="22">
                  <c:v>19</c:v>
                </c:pt>
                <c:pt idx="23">
                  <c:v>19.5</c:v>
                </c:pt>
                <c:pt idx="24">
                  <c:v>20</c:v>
                </c:pt>
              </c:numCache>
            </c:numRef>
          </c:xVal>
          <c:yVal>
            <c:numRef>
              <c:f>'Derivatives and Leverage'!$D$68:$D$92</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0.5</c:v>
                </c:pt>
                <c:pt idx="15">
                  <c:v>1</c:v>
                </c:pt>
                <c:pt idx="16">
                  <c:v>1.5</c:v>
                </c:pt>
                <c:pt idx="17">
                  <c:v>2</c:v>
                </c:pt>
                <c:pt idx="18">
                  <c:v>2.5</c:v>
                </c:pt>
                <c:pt idx="19">
                  <c:v>3</c:v>
                </c:pt>
                <c:pt idx="20">
                  <c:v>3.5</c:v>
                </c:pt>
                <c:pt idx="21">
                  <c:v>4</c:v>
                </c:pt>
                <c:pt idx="22">
                  <c:v>4.5</c:v>
                </c:pt>
                <c:pt idx="23">
                  <c:v>5</c:v>
                </c:pt>
                <c:pt idx="24">
                  <c:v>5.5</c:v>
                </c:pt>
              </c:numCache>
            </c:numRef>
          </c:yVal>
          <c:smooth val="0"/>
          <c:extLst>
            <c:ext xmlns:c16="http://schemas.microsoft.com/office/drawing/2014/chart" uri="{C3380CC4-5D6E-409C-BE32-E72D297353CC}">
              <c16:uniqueId val="{00000000-7CEE-42F1-AF1A-91548BE54079}"/>
            </c:ext>
          </c:extLst>
        </c:ser>
        <c:ser>
          <c:idx val="0"/>
          <c:order val="0"/>
          <c:tx>
            <c:strRef>
              <c:f>'Derivatives and Leverage'!$F$67</c:f>
              <c:strCache>
                <c:ptCount val="1"/>
                <c:pt idx="0">
                  <c:v>Value</c:v>
                </c:pt>
              </c:strCache>
            </c:strRef>
          </c:tx>
          <c:xVal>
            <c:numRef>
              <c:f>'Derivatives and Leverage'!$E$68:$E$92</c:f>
              <c:numCache>
                <c:formatCode>0.00</c:formatCode>
                <c:ptCount val="25"/>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pt idx="24">
                  <c:v>1</c:v>
                </c:pt>
              </c:numCache>
            </c:numRef>
          </c:xVal>
          <c:yVal>
            <c:numRef>
              <c:f>'Derivatives and Leverage'!$F$68:$F$92</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4.1666666666666741E-2</c:v>
                </c:pt>
                <c:pt idx="15">
                  <c:v>8.333333333333337E-2</c:v>
                </c:pt>
                <c:pt idx="16">
                  <c:v>0.125</c:v>
                </c:pt>
                <c:pt idx="17">
                  <c:v>0.16666666666666674</c:v>
                </c:pt>
                <c:pt idx="18">
                  <c:v>0.20833333333333337</c:v>
                </c:pt>
                <c:pt idx="19">
                  <c:v>0.25</c:v>
                </c:pt>
                <c:pt idx="20">
                  <c:v>0.29166666666666674</c:v>
                </c:pt>
                <c:pt idx="21">
                  <c:v>0.33333333333333337</c:v>
                </c:pt>
                <c:pt idx="22">
                  <c:v>0.375</c:v>
                </c:pt>
                <c:pt idx="23">
                  <c:v>0.41666666666666674</c:v>
                </c:pt>
                <c:pt idx="24">
                  <c:v>0.45833333333333337</c:v>
                </c:pt>
              </c:numCache>
            </c:numRef>
          </c:yVal>
          <c:smooth val="0"/>
          <c:extLst>
            <c:ext xmlns:c16="http://schemas.microsoft.com/office/drawing/2014/chart" uri="{C3380CC4-5D6E-409C-BE32-E72D297353CC}">
              <c16:uniqueId val="{00000001-7CEE-42F1-AF1A-91548BE54079}"/>
            </c:ext>
          </c:extLst>
        </c:ser>
        <c:dLbls>
          <c:showLegendKey val="0"/>
          <c:showVal val="0"/>
          <c:showCatName val="0"/>
          <c:showSerName val="0"/>
          <c:showPercent val="0"/>
          <c:showBubbleSize val="0"/>
        </c:dLbls>
        <c:axId val="170422784"/>
        <c:axId val="170423360"/>
      </c:scatterChart>
      <c:valAx>
        <c:axId val="170422784"/>
        <c:scaling>
          <c:orientation val="minMax"/>
          <c:min val="7"/>
        </c:scaling>
        <c:delete val="0"/>
        <c:axPos val="b"/>
        <c:numFmt formatCode="General" sourceLinked="1"/>
        <c:majorTickMark val="out"/>
        <c:minorTickMark val="none"/>
        <c:tickLblPos val="nextTo"/>
        <c:crossAx val="170423360"/>
        <c:crosses val="autoZero"/>
        <c:crossBetween val="midCat"/>
      </c:valAx>
      <c:valAx>
        <c:axId val="170423360"/>
        <c:scaling>
          <c:orientation val="minMax"/>
        </c:scaling>
        <c:delete val="0"/>
        <c:axPos val="l"/>
        <c:majorGridlines/>
        <c:numFmt formatCode="General" sourceLinked="1"/>
        <c:majorTickMark val="out"/>
        <c:minorTickMark val="none"/>
        <c:tickLblPos val="nextTo"/>
        <c:crossAx val="17042278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2"/>
          <c:order val="0"/>
          <c:tx>
            <c:strRef>
              <c:f>'Max Shares Outstanding'!$M$71</c:f>
              <c:strCache>
                <c:ptCount val="1"/>
                <c:pt idx="0">
                  <c:v>Error</c:v>
                </c:pt>
              </c:strCache>
            </c:strRef>
          </c:tx>
          <c:xVal>
            <c:numRef>
              <c:f>'Max Shares Outstanding'!$I$72:$I$87</c:f>
              <c:numCache>
                <c:formatCode>0%</c:formatCode>
                <c:ptCount val="16"/>
                <c:pt idx="0">
                  <c:v>0.5</c:v>
                </c:pt>
                <c:pt idx="1">
                  <c:v>1.3887943864771144E-11</c:v>
                </c:pt>
                <c:pt idx="2">
                  <c:v>5.9000905415970609E-29</c:v>
                </c:pt>
                <c:pt idx="3">
                  <c:v>0</c:v>
                </c:pt>
                <c:pt idx="4">
                  <c:v>0</c:v>
                </c:pt>
                <c:pt idx="5">
                  <c:v>0</c:v>
                </c:pt>
                <c:pt idx="6">
                  <c:v>0</c:v>
                </c:pt>
                <c:pt idx="7">
                  <c:v>0</c:v>
                </c:pt>
                <c:pt idx="8">
                  <c:v>0</c:v>
                </c:pt>
                <c:pt idx="9">
                  <c:v>0</c:v>
                </c:pt>
                <c:pt idx="10">
                  <c:v>0</c:v>
                </c:pt>
                <c:pt idx="11">
                  <c:v>0.5</c:v>
                </c:pt>
                <c:pt idx="12">
                  <c:v>3.0590222692562477E-7</c:v>
                </c:pt>
                <c:pt idx="13">
                  <c:v>2.0611536181902033E-9</c:v>
                </c:pt>
                <c:pt idx="14">
                  <c:v>2.0611536181902037E-9</c:v>
                </c:pt>
                <c:pt idx="15">
                  <c:v>3.0590222692562472E-7</c:v>
                </c:pt>
              </c:numCache>
            </c:numRef>
          </c:xVal>
          <c:yVal>
            <c:numRef>
              <c:f>'Max Shares Outstanding'!$M$72:$M$87</c:f>
              <c:numCache>
                <c:formatCode>0%</c:formatCode>
                <c:ptCount val="16"/>
                <c:pt idx="0">
                  <c:v>1.3862943611198997E-2</c:v>
                </c:pt>
                <c:pt idx="1">
                  <c:v>0.17518166208598607</c:v>
                </c:pt>
                <c:pt idx="2">
                  <c:v>2.1952433489850987E-2</c:v>
                </c:pt>
                <c:pt idx="3">
                  <c:v>0</c:v>
                </c:pt>
                <c:pt idx="4">
                  <c:v>0</c:v>
                </c:pt>
                <c:pt idx="5">
                  <c:v>0</c:v>
                </c:pt>
                <c:pt idx="6">
                  <c:v>0</c:v>
                </c:pt>
                <c:pt idx="7">
                  <c:v>0</c:v>
                </c:pt>
                <c:pt idx="8">
                  <c:v>0</c:v>
                </c:pt>
                <c:pt idx="9">
                  <c:v>0</c:v>
                </c:pt>
                <c:pt idx="10">
                  <c:v>0</c:v>
                </c:pt>
                <c:pt idx="11">
                  <c:v>1.3862943611198997E-2</c:v>
                </c:pt>
                <c:pt idx="12">
                  <c:v>9.0435454022841269E-2</c:v>
                </c:pt>
                <c:pt idx="13">
                  <c:v>4.5578190433773168E-2</c:v>
                </c:pt>
                <c:pt idx="14">
                  <c:v>8.1384649071773233E-7</c:v>
                </c:pt>
                <c:pt idx="15">
                  <c:v>1.1886318417599008E-5</c:v>
                </c:pt>
              </c:numCache>
            </c:numRef>
          </c:yVal>
          <c:smooth val="1"/>
          <c:extLst>
            <c:ext xmlns:c16="http://schemas.microsoft.com/office/drawing/2014/chart" uri="{C3380CC4-5D6E-409C-BE32-E72D297353CC}">
              <c16:uniqueId val="{00000000-19EC-48F7-8629-B41F4CCD5853}"/>
            </c:ext>
          </c:extLst>
        </c:ser>
        <c:ser>
          <c:idx val="3"/>
          <c:order val="1"/>
          <c:tx>
            <c:strRef>
              <c:f>'Max Shares Outstanding'!$P$71</c:f>
              <c:strCache>
                <c:ptCount val="1"/>
                <c:pt idx="0">
                  <c:v>Painfree Error</c:v>
                </c:pt>
              </c:strCache>
            </c:strRef>
          </c:tx>
          <c:xVal>
            <c:numRef>
              <c:f>'Max Shares Outstanding'!$I$72:$I$87</c:f>
              <c:numCache>
                <c:formatCode>0%</c:formatCode>
                <c:ptCount val="16"/>
                <c:pt idx="0">
                  <c:v>0.5</c:v>
                </c:pt>
                <c:pt idx="1">
                  <c:v>1.3887943864771144E-11</c:v>
                </c:pt>
                <c:pt idx="2">
                  <c:v>5.9000905415970609E-29</c:v>
                </c:pt>
                <c:pt idx="3">
                  <c:v>0</c:v>
                </c:pt>
                <c:pt idx="4">
                  <c:v>0</c:v>
                </c:pt>
                <c:pt idx="5">
                  <c:v>0</c:v>
                </c:pt>
                <c:pt idx="6">
                  <c:v>0</c:v>
                </c:pt>
                <c:pt idx="7">
                  <c:v>0</c:v>
                </c:pt>
                <c:pt idx="8">
                  <c:v>0</c:v>
                </c:pt>
                <c:pt idx="9">
                  <c:v>0</c:v>
                </c:pt>
                <c:pt idx="10">
                  <c:v>0</c:v>
                </c:pt>
                <c:pt idx="11">
                  <c:v>0.5</c:v>
                </c:pt>
                <c:pt idx="12">
                  <c:v>3.0590222692562477E-7</c:v>
                </c:pt>
                <c:pt idx="13">
                  <c:v>2.0611536181902033E-9</c:v>
                </c:pt>
                <c:pt idx="14">
                  <c:v>2.0611536181902037E-9</c:v>
                </c:pt>
                <c:pt idx="15">
                  <c:v>3.0590222692562472E-7</c:v>
                </c:pt>
              </c:numCache>
            </c:numRef>
          </c:xVal>
          <c:yVal>
            <c:numRef>
              <c:f>'Max Shares Outstanding'!$P$72:$P$87</c:f>
              <c:numCache>
                <c:formatCode>0%</c:formatCode>
                <c:ptCount val="16"/>
                <c:pt idx="0">
                  <c:v>0</c:v>
                </c:pt>
                <c:pt idx="1">
                  <c:v>0.16618592891222195</c:v>
                </c:pt>
                <c:pt idx="2">
                  <c:v>1.999225416298589E-2</c:v>
                </c:pt>
                <c:pt idx="3">
                  <c:v>0</c:v>
                </c:pt>
                <c:pt idx="4">
                  <c:v>0</c:v>
                </c:pt>
                <c:pt idx="5">
                  <c:v>0</c:v>
                </c:pt>
                <c:pt idx="6">
                  <c:v>0</c:v>
                </c:pt>
                <c:pt idx="7">
                  <c:v>0</c:v>
                </c:pt>
                <c:pt idx="8">
                  <c:v>0</c:v>
                </c:pt>
                <c:pt idx="9">
                  <c:v>0</c:v>
                </c:pt>
                <c:pt idx="10">
                  <c:v>0</c:v>
                </c:pt>
                <c:pt idx="11">
                  <c:v>0</c:v>
                </c:pt>
                <c:pt idx="12">
                  <c:v>8.4636446470396268E-2</c:v>
                </c:pt>
                <c:pt idx="13">
                  <c:v>4.2087725854465262E-2</c:v>
                </c:pt>
                <c:pt idx="14">
                  <c:v>6.2281340692153301E-7</c:v>
                </c:pt>
                <c:pt idx="15">
                  <c:v>9.4418748964444252E-6</c:v>
                </c:pt>
              </c:numCache>
            </c:numRef>
          </c:yVal>
          <c:smooth val="1"/>
          <c:extLst>
            <c:ext xmlns:c16="http://schemas.microsoft.com/office/drawing/2014/chart" uri="{C3380CC4-5D6E-409C-BE32-E72D297353CC}">
              <c16:uniqueId val="{00000001-19EC-48F7-8629-B41F4CCD5853}"/>
            </c:ext>
          </c:extLst>
        </c:ser>
        <c:dLbls>
          <c:showLegendKey val="0"/>
          <c:showVal val="0"/>
          <c:showCatName val="0"/>
          <c:showSerName val="0"/>
          <c:showPercent val="0"/>
          <c:showBubbleSize val="0"/>
        </c:dLbls>
        <c:axId val="175281792"/>
        <c:axId val="175282368"/>
      </c:scatterChart>
      <c:valAx>
        <c:axId val="175281792"/>
        <c:scaling>
          <c:orientation val="minMax"/>
        </c:scaling>
        <c:delete val="0"/>
        <c:axPos val="b"/>
        <c:numFmt formatCode="0%" sourceLinked="1"/>
        <c:majorTickMark val="out"/>
        <c:minorTickMark val="none"/>
        <c:tickLblPos val="nextTo"/>
        <c:crossAx val="175282368"/>
        <c:crosses val="autoZero"/>
        <c:crossBetween val="midCat"/>
      </c:valAx>
      <c:valAx>
        <c:axId val="175282368"/>
        <c:scaling>
          <c:orientation val="minMax"/>
        </c:scaling>
        <c:delete val="0"/>
        <c:axPos val="l"/>
        <c:majorGridlines/>
        <c:numFmt formatCode="0%" sourceLinked="1"/>
        <c:majorTickMark val="out"/>
        <c:minorTickMark val="none"/>
        <c:tickLblPos val="nextTo"/>
        <c:crossAx val="1752817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049604940910712E-2"/>
          <c:y val="2.2214014879289284E-2"/>
          <c:w val="0.64307077682202374"/>
          <c:h val="0.94581027099860648"/>
        </c:manualLayout>
      </c:layout>
      <c:bubbleChart>
        <c:varyColors val="0"/>
        <c:ser>
          <c:idx val="0"/>
          <c:order val="0"/>
          <c:tx>
            <c:strRef>
              <c:f>'Max Shares Outstanding'!$I$71</c:f>
              <c:strCache>
                <c:ptCount val="1"/>
                <c:pt idx="0">
                  <c:v>Old Probability</c:v>
                </c:pt>
              </c:strCache>
            </c:strRef>
          </c:tx>
          <c:spPr>
            <a:solidFill>
              <a:srgbClr val="00B0F0">
                <a:alpha val="47000"/>
              </a:srgbClr>
            </a:solidFill>
          </c:spPr>
          <c:invertIfNegative val="0"/>
          <c:trendline>
            <c:spPr>
              <a:ln>
                <a:solidFill>
                  <a:schemeClr val="accent1"/>
                </a:solidFill>
              </a:ln>
            </c:spPr>
            <c:trendlineType val="movingAvg"/>
            <c:period val="2"/>
            <c:dispRSqr val="0"/>
            <c:dispEq val="0"/>
          </c:trendline>
          <c:xVal>
            <c:strRef>
              <c:f>'Max Shares Outstanding'!$G$71:$G$87</c:f>
              <c:strCache>
                <c:ptCount val="17"/>
                <c:pt idx="0">
                  <c:v>Time</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strCache>
            </c:strRef>
          </c:xVal>
          <c:yVal>
            <c:numRef>
              <c:f>'Max Shares Outstanding'!$I$71:$I$87</c:f>
              <c:numCache>
                <c:formatCode>0%</c:formatCode>
                <c:ptCount val="17"/>
                <c:pt idx="0">
                  <c:v>0</c:v>
                </c:pt>
                <c:pt idx="1">
                  <c:v>0.5</c:v>
                </c:pt>
                <c:pt idx="2">
                  <c:v>1.3887943864771144E-11</c:v>
                </c:pt>
                <c:pt idx="3">
                  <c:v>5.9000905415970609E-29</c:v>
                </c:pt>
                <c:pt idx="4">
                  <c:v>0</c:v>
                </c:pt>
                <c:pt idx="5">
                  <c:v>0</c:v>
                </c:pt>
                <c:pt idx="6">
                  <c:v>0</c:v>
                </c:pt>
                <c:pt idx="7">
                  <c:v>0</c:v>
                </c:pt>
                <c:pt idx="8">
                  <c:v>0</c:v>
                </c:pt>
                <c:pt idx="9">
                  <c:v>0</c:v>
                </c:pt>
                <c:pt idx="10">
                  <c:v>0</c:v>
                </c:pt>
                <c:pt idx="11">
                  <c:v>0</c:v>
                </c:pt>
                <c:pt idx="12">
                  <c:v>0.5</c:v>
                </c:pt>
                <c:pt idx="13">
                  <c:v>3.0590222692562477E-7</c:v>
                </c:pt>
                <c:pt idx="14">
                  <c:v>2.0611536181902033E-9</c:v>
                </c:pt>
                <c:pt idx="15">
                  <c:v>2.0611536181902037E-9</c:v>
                </c:pt>
                <c:pt idx="16">
                  <c:v>3.0590222692562472E-7</c:v>
                </c:pt>
              </c:numCache>
            </c:numRef>
          </c:yVal>
          <c:bubbleSize>
            <c:numRef>
              <c:f>'Max Shares Outstanding'!$H$71:$H$87</c:f>
              <c:numCache>
                <c:formatCode>0.0</c:formatCode>
                <c:ptCount val="17"/>
                <c:pt idx="0" formatCode="General">
                  <c:v>0</c:v>
                </c:pt>
                <c:pt idx="1">
                  <c:v>0.63678639723971031</c:v>
                </c:pt>
                <c:pt idx="2">
                  <c:v>3.3890445637675182</c:v>
                </c:pt>
                <c:pt idx="3">
                  <c:v>3.5005588412257422</c:v>
                </c:pt>
                <c:pt idx="4">
                  <c:v>5.9077552789821368</c:v>
                </c:pt>
                <c:pt idx="5">
                  <c:v>5.9077552789959675</c:v>
                </c:pt>
                <c:pt idx="6">
                  <c:v>5.907894174136012</c:v>
                </c:pt>
                <c:pt idx="7">
                  <c:v>5.9172602691869178</c:v>
                </c:pt>
                <c:pt idx="8">
                  <c:v>5.9351037637877466</c:v>
                </c:pt>
                <c:pt idx="9">
                  <c:v>5.9371502022635907</c:v>
                </c:pt>
                <c:pt idx="10">
                  <c:v>5.9336300793651526</c:v>
                </c:pt>
                <c:pt idx="11">
                  <c:v>5.9351037637877466</c:v>
                </c:pt>
                <c:pt idx="12">
                  <c:v>3.6325186707937016</c:v>
                </c:pt>
                <c:pt idx="13">
                  <c:v>2.4998784559966865</c:v>
                </c:pt>
                <c:pt idx="14">
                  <c:v>2.5279780046548468</c:v>
                </c:pt>
                <c:pt idx="15">
                  <c:v>1.197224596776767</c:v>
                </c:pt>
                <c:pt idx="16">
                  <c:v>1.0794418584840861</c:v>
                </c:pt>
              </c:numCache>
            </c:numRef>
          </c:bubbleSize>
          <c:bubble3D val="0"/>
          <c:extLst>
            <c:ext xmlns:c16="http://schemas.microsoft.com/office/drawing/2014/chart" uri="{C3380CC4-5D6E-409C-BE32-E72D297353CC}">
              <c16:uniqueId val="{00000001-8423-419E-85B0-22381261AAA7}"/>
            </c:ext>
          </c:extLst>
        </c:ser>
        <c:ser>
          <c:idx val="1"/>
          <c:order val="1"/>
          <c:tx>
            <c:strRef>
              <c:f>'Max Shares Outstanding'!$K$71</c:f>
              <c:strCache>
                <c:ptCount val="1"/>
                <c:pt idx="0">
                  <c:v>New Probability</c:v>
                </c:pt>
              </c:strCache>
            </c:strRef>
          </c:tx>
          <c:spPr>
            <a:solidFill>
              <a:srgbClr val="FF0000">
                <a:alpha val="33000"/>
              </a:srgbClr>
            </a:solidFill>
            <a:ln w="25400">
              <a:noFill/>
            </a:ln>
          </c:spPr>
          <c:invertIfNegative val="0"/>
          <c:trendline>
            <c:spPr>
              <a:ln>
                <a:solidFill>
                  <a:srgbClr val="FF0000"/>
                </a:solidFill>
              </a:ln>
            </c:spPr>
            <c:trendlineType val="movingAvg"/>
            <c:period val="2"/>
            <c:dispRSqr val="0"/>
            <c:dispEq val="0"/>
          </c:trendline>
          <c:xVal>
            <c:strRef>
              <c:f>'Max Shares Outstanding'!$G$71:$G$87</c:f>
              <c:strCache>
                <c:ptCount val="17"/>
                <c:pt idx="0">
                  <c:v>Time</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strCache>
            </c:strRef>
          </c:xVal>
          <c:yVal>
            <c:numRef>
              <c:f>'Max Shares Outstanding'!$K$71:$K$87</c:f>
              <c:numCache>
                <c:formatCode>0%</c:formatCode>
                <c:ptCount val="17"/>
                <c:pt idx="0">
                  <c:v>0</c:v>
                </c:pt>
                <c:pt idx="1">
                  <c:v>0.513862943611199</c:v>
                </c:pt>
                <c:pt idx="2">
                  <c:v>0.17518166209987401</c:v>
                </c:pt>
                <c:pt idx="3">
                  <c:v>2.1952433489850987E-2</c:v>
                </c:pt>
                <c:pt idx="4">
                  <c:v>0</c:v>
                </c:pt>
                <c:pt idx="5">
                  <c:v>7.1553285518888288E-10</c:v>
                </c:pt>
                <c:pt idx="6">
                  <c:v>4.3560941733966629E-3</c:v>
                </c:pt>
                <c:pt idx="7">
                  <c:v>0.22766810804454107</c:v>
                </c:pt>
                <c:pt idx="8">
                  <c:v>0.513862943611199</c:v>
                </c:pt>
                <c:pt idx="9">
                  <c:v>0.53876748585317424</c:v>
                </c:pt>
                <c:pt idx="10">
                  <c:v>0.53261819226649698</c:v>
                </c:pt>
                <c:pt idx="11">
                  <c:v>0.513862943611199</c:v>
                </c:pt>
                <c:pt idx="12">
                  <c:v>0.513862943611199</c:v>
                </c:pt>
                <c:pt idx="13">
                  <c:v>9.0435759925068193E-2</c:v>
                </c:pt>
                <c:pt idx="14">
                  <c:v>4.5578192494926784E-2</c:v>
                </c:pt>
                <c:pt idx="15">
                  <c:v>8.1590764433592256E-7</c:v>
                </c:pt>
                <c:pt idx="16">
                  <c:v>1.2192220644524632E-5</c:v>
                </c:pt>
              </c:numCache>
            </c:numRef>
          </c:yVal>
          <c:bubbleSize>
            <c:numRef>
              <c:f>'Max Shares Outstanding'!$J$71:$J$87</c:f>
              <c:numCache>
                <c:formatCode>0.0</c:formatCode>
                <c:ptCount val="17"/>
                <c:pt idx="0" formatCode="General">
                  <c:v>0</c:v>
                </c:pt>
                <c:pt idx="1">
                  <c:v>0.63678639723971031</c:v>
                </c:pt>
                <c:pt idx="2">
                  <c:v>3.3890445637675182</c:v>
                </c:pt>
                <c:pt idx="3">
                  <c:v>3.5005588412257422</c:v>
                </c:pt>
                <c:pt idx="4">
                  <c:v>5.9077552789821368</c:v>
                </c:pt>
                <c:pt idx="5">
                  <c:v>5.9077552789959675</c:v>
                </c:pt>
                <c:pt idx="6">
                  <c:v>5.907894174136012</c:v>
                </c:pt>
                <c:pt idx="7">
                  <c:v>5.9172602691869178</c:v>
                </c:pt>
                <c:pt idx="8">
                  <c:v>5.9351037637877466</c:v>
                </c:pt>
                <c:pt idx="9">
                  <c:v>5.9371502022635907</c:v>
                </c:pt>
                <c:pt idx="10">
                  <c:v>5.9336300793651526</c:v>
                </c:pt>
                <c:pt idx="11">
                  <c:v>5.9351037637877466</c:v>
                </c:pt>
                <c:pt idx="12">
                  <c:v>3.6325186707937016</c:v>
                </c:pt>
                <c:pt idx="13">
                  <c:v>2.4998784559966865</c:v>
                </c:pt>
                <c:pt idx="14">
                  <c:v>2.5279780046548468</c:v>
                </c:pt>
                <c:pt idx="15">
                  <c:v>1.197224596776767</c:v>
                </c:pt>
                <c:pt idx="16">
                  <c:v>1.0794418584840861</c:v>
                </c:pt>
              </c:numCache>
            </c:numRef>
          </c:bubbleSize>
          <c:bubble3D val="0"/>
          <c:extLst>
            <c:ext xmlns:c16="http://schemas.microsoft.com/office/drawing/2014/chart" uri="{C3380CC4-5D6E-409C-BE32-E72D297353CC}">
              <c16:uniqueId val="{00000003-8423-419E-85B0-22381261AAA7}"/>
            </c:ext>
          </c:extLst>
        </c:ser>
        <c:dLbls>
          <c:showLegendKey val="0"/>
          <c:showVal val="0"/>
          <c:showCatName val="0"/>
          <c:showSerName val="0"/>
          <c:showPercent val="0"/>
          <c:showBubbleSize val="0"/>
        </c:dLbls>
        <c:bubbleScale val="20"/>
        <c:showNegBubbles val="0"/>
        <c:sizeRepresents val="w"/>
        <c:axId val="175080000"/>
        <c:axId val="175080576"/>
      </c:bubbleChart>
      <c:valAx>
        <c:axId val="175080000"/>
        <c:scaling>
          <c:orientation val="minMax"/>
        </c:scaling>
        <c:delete val="0"/>
        <c:axPos val="b"/>
        <c:majorTickMark val="out"/>
        <c:minorTickMark val="none"/>
        <c:tickLblPos val="nextTo"/>
        <c:crossAx val="175080576"/>
        <c:crosses val="autoZero"/>
        <c:crossBetween val="midCat"/>
      </c:valAx>
      <c:valAx>
        <c:axId val="175080576"/>
        <c:scaling>
          <c:orientation val="minMax"/>
        </c:scaling>
        <c:delete val="0"/>
        <c:axPos val="l"/>
        <c:majorGridlines/>
        <c:numFmt formatCode="0%" sourceLinked="1"/>
        <c:majorTickMark val="out"/>
        <c:minorTickMark val="none"/>
        <c:tickLblPos val="nextTo"/>
        <c:crossAx val="17508000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Future Exchange Rate Under</a:t>
            </a:r>
            <a:r>
              <a:rPr lang="en-US" baseline="0"/>
              <a:t> Different Blocksizes</a:t>
            </a:r>
            <a:endParaRPr lang="en-US"/>
          </a:p>
        </c:rich>
      </c:tx>
      <c:overlay val="0"/>
    </c:title>
    <c:autoTitleDeleted val="0"/>
    <c:plotArea>
      <c:layout>
        <c:manualLayout>
          <c:layoutTarget val="inner"/>
          <c:xMode val="edge"/>
          <c:yMode val="edge"/>
          <c:x val="0.11805840737468645"/>
          <c:y val="0.13973736017658095"/>
          <c:w val="0.85897542965794715"/>
          <c:h val="0.76553585301855964"/>
        </c:manualLayout>
      </c:layout>
      <c:lineChart>
        <c:grouping val="standard"/>
        <c:varyColors val="0"/>
        <c:ser>
          <c:idx val="0"/>
          <c:order val="0"/>
          <c:tx>
            <c:v>Keep 1MB</c:v>
          </c:tx>
          <c:marker>
            <c:symbol val="none"/>
          </c:marker>
          <c:val>
            <c:numRef>
              <c:f>'Blocksize Controversy'!$M$22:$M$47</c:f>
              <c:numCache>
                <c:formatCode>"$"#,##0.0_);[Red]\("$"#,##0.0\)</c:formatCode>
                <c:ptCount val="26"/>
                <c:pt idx="0">
                  <c:v>25000</c:v>
                </c:pt>
                <c:pt idx="1">
                  <c:v>27800.694527231</c:v>
                </c:pt>
                <c:pt idx="2">
                  <c:v>27800.694527230997</c:v>
                </c:pt>
                <c:pt idx="3">
                  <c:v>170.94698629242166</c:v>
                </c:pt>
                <c:pt idx="4">
                  <c:v>117.32279543461961</c:v>
                </c:pt>
                <c:pt idx="5">
                  <c:v>92.284868090619725</c:v>
                </c:pt>
                <c:pt idx="6">
                  <c:v>95.15542090402387</c:v>
                </c:pt>
                <c:pt idx="7">
                  <c:v>88.039688952617027</c:v>
                </c:pt>
                <c:pt idx="8">
                  <c:v>95.339626679329541</c:v>
                </c:pt>
                <c:pt idx="9">
                  <c:v>96.757397170810108</c:v>
                </c:pt>
                <c:pt idx="10">
                  <c:v>107.3745140958485</c:v>
                </c:pt>
                <c:pt idx="11">
                  <c:v>88.653020378591123</c:v>
                </c:pt>
                <c:pt idx="12">
                  <c:v>88.880962361432665</c:v>
                </c:pt>
                <c:pt idx="13">
                  <c:v>95.340002815061013</c:v>
                </c:pt>
                <c:pt idx="14">
                  <c:v>77.458569595325429</c:v>
                </c:pt>
                <c:pt idx="15">
                  <c:v>68.387143658946272</c:v>
                </c:pt>
                <c:pt idx="16">
                  <c:v>60.302195203219782</c:v>
                </c:pt>
                <c:pt idx="17">
                  <c:v>50.950204279502607</c:v>
                </c:pt>
                <c:pt idx="18">
                  <c:v>54.791229134287889</c:v>
                </c:pt>
                <c:pt idx="19">
                  <c:v>51.988704529284632</c:v>
                </c:pt>
                <c:pt idx="20">
                  <c:v>42.958929923979483</c:v>
                </c:pt>
                <c:pt idx="21">
                  <c:v>0</c:v>
                </c:pt>
                <c:pt idx="22">
                  <c:v>0</c:v>
                </c:pt>
                <c:pt idx="23">
                  <c:v>0</c:v>
                </c:pt>
                <c:pt idx="24">
                  <c:v>0</c:v>
                </c:pt>
                <c:pt idx="25">
                  <c:v>0</c:v>
                </c:pt>
              </c:numCache>
            </c:numRef>
          </c:val>
          <c:smooth val="0"/>
          <c:extLst>
            <c:ext xmlns:c16="http://schemas.microsoft.com/office/drawing/2014/chart" uri="{C3380CC4-5D6E-409C-BE32-E72D297353CC}">
              <c16:uniqueId val="{00000000-4D87-4D10-BF93-E60433E64074}"/>
            </c:ext>
          </c:extLst>
        </c:ser>
        <c:ser>
          <c:idx val="1"/>
          <c:order val="1"/>
          <c:tx>
            <c:v>Increase</c:v>
          </c:tx>
          <c:marker>
            <c:symbol val="none"/>
          </c:marker>
          <c:val>
            <c:numRef>
              <c:f>'Blocksize Controversy'!$N$22:$N$47</c:f>
              <c:numCache>
                <c:formatCode>"$"#,##0.0_);[Red]\("$"#,##0.0\)</c:formatCode>
                <c:ptCount val="26"/>
                <c:pt idx="0">
                  <c:v>25000</c:v>
                </c:pt>
                <c:pt idx="1">
                  <c:v>27800.694527230997</c:v>
                </c:pt>
                <c:pt idx="2">
                  <c:v>33126.945290460644</c:v>
                </c:pt>
                <c:pt idx="3">
                  <c:v>5830.1484580569668</c:v>
                </c:pt>
                <c:pt idx="4">
                  <c:v>8469.194846700937</c:v>
                </c:pt>
                <c:pt idx="5">
                  <c:v>8543.7268878572595</c:v>
                </c:pt>
                <c:pt idx="6">
                  <c:v>8892.5966169494823</c:v>
                </c:pt>
                <c:pt idx="7">
                  <c:v>9055.8833418330814</c:v>
                </c:pt>
                <c:pt idx="8">
                  <c:v>8464.7271212333471</c:v>
                </c:pt>
                <c:pt idx="9">
                  <c:v>7663.6910458752554</c:v>
                </c:pt>
                <c:pt idx="10">
                  <c:v>7385.912723249483</c:v>
                </c:pt>
                <c:pt idx="11">
                  <c:v>8786.3091236419805</c:v>
                </c:pt>
                <c:pt idx="12">
                  <c:v>8762.6704911419092</c:v>
                </c:pt>
                <c:pt idx="13">
                  <c:v>8484.0064654601156</c:v>
                </c:pt>
                <c:pt idx="14">
                  <c:v>8766.1602804091926</c:v>
                </c:pt>
                <c:pt idx="15">
                  <c:v>8180.7097640836182</c:v>
                </c:pt>
                <c:pt idx="16">
                  <c:v>6981.7768657043034</c:v>
                </c:pt>
                <c:pt idx="17">
                  <c:v>7248.0000840785069</c:v>
                </c:pt>
                <c:pt idx="18">
                  <c:v>7294.5955820659829</c:v>
                </c:pt>
                <c:pt idx="19">
                  <c:v>7757.3827601744024</c:v>
                </c:pt>
                <c:pt idx="20">
                  <c:v>8277.307319028856</c:v>
                </c:pt>
                <c:pt idx="21">
                  <c:v>8021.5315743038182</c:v>
                </c:pt>
                <c:pt idx="22">
                  <c:v>7772.1872004090528</c:v>
                </c:pt>
                <c:pt idx="23">
                  <c:v>8451.4299243956921</c:v>
                </c:pt>
                <c:pt idx="24">
                  <c:v>8191.3299942428766</c:v>
                </c:pt>
                <c:pt idx="25">
                  <c:v>9000</c:v>
                </c:pt>
              </c:numCache>
            </c:numRef>
          </c:val>
          <c:smooth val="0"/>
          <c:extLst>
            <c:ext xmlns:c16="http://schemas.microsoft.com/office/drawing/2014/chart" uri="{C3380CC4-5D6E-409C-BE32-E72D297353CC}">
              <c16:uniqueId val="{00000001-4D87-4D10-BF93-E60433E64074}"/>
            </c:ext>
          </c:extLst>
        </c:ser>
        <c:dLbls>
          <c:showLegendKey val="0"/>
          <c:showVal val="0"/>
          <c:showCatName val="0"/>
          <c:showSerName val="0"/>
          <c:showPercent val="0"/>
          <c:showBubbleSize val="0"/>
        </c:dLbls>
        <c:smooth val="0"/>
        <c:axId val="170654208"/>
        <c:axId val="170425664"/>
      </c:lineChart>
      <c:catAx>
        <c:axId val="170654208"/>
        <c:scaling>
          <c:orientation val="minMax"/>
        </c:scaling>
        <c:delete val="0"/>
        <c:axPos val="b"/>
        <c:majorTickMark val="out"/>
        <c:minorTickMark val="none"/>
        <c:tickLblPos val="nextTo"/>
        <c:crossAx val="170425664"/>
        <c:crosses val="autoZero"/>
        <c:auto val="1"/>
        <c:lblAlgn val="ctr"/>
        <c:lblOffset val="100"/>
        <c:noMultiLvlLbl val="0"/>
      </c:catAx>
      <c:valAx>
        <c:axId val="170425664"/>
        <c:scaling>
          <c:logBase val="10"/>
          <c:orientation val="minMax"/>
          <c:max val="50000"/>
          <c:min val="2"/>
        </c:scaling>
        <c:delete val="0"/>
        <c:axPos val="l"/>
        <c:majorGridlines/>
        <c:numFmt formatCode="&quot;$&quot;#,##0.0_);[Red]\(&quot;$&quot;#,##0.0\)" sourceLinked="1"/>
        <c:majorTickMark val="out"/>
        <c:minorTickMark val="none"/>
        <c:tickLblPos val="nextTo"/>
        <c:crossAx val="170654208"/>
        <c:crosses val="autoZero"/>
        <c:crossBetween val="between"/>
      </c:valAx>
    </c:plotArea>
    <c:legend>
      <c:legendPos val="b"/>
      <c:layout>
        <c:manualLayout>
          <c:xMode val="edge"/>
          <c:yMode val="edge"/>
          <c:x val="0.14440817496763858"/>
          <c:y val="0.75471647160976985"/>
          <c:w val="0.16417124044569811"/>
          <c:h val="0.1171448275943932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DJIA</a:t>
            </a:r>
            <a:r>
              <a:rPr lang="en-US" baseline="0"/>
              <a:t> on 2/13/2020</a:t>
            </a:r>
            <a:endParaRPr lang="en-US"/>
          </a:p>
        </c:rich>
      </c:tx>
      <c:overlay val="0"/>
    </c:title>
    <c:autoTitleDeleted val="0"/>
    <c:plotArea>
      <c:layout/>
      <c:lineChart>
        <c:grouping val="standard"/>
        <c:varyColors val="0"/>
        <c:ser>
          <c:idx val="0"/>
          <c:order val="0"/>
          <c:marker>
            <c:symbol val="none"/>
          </c:marker>
          <c:val>
            <c:numRef>
              <c:f>'Portfolio Replication'!$H$21:$H$31</c:f>
              <c:numCache>
                <c:formatCode>0.00</c:formatCode>
                <c:ptCount val="11"/>
                <c:pt idx="1">
                  <c:v>28895.48419598335</c:v>
                </c:pt>
                <c:pt idx="2">
                  <c:v>28901.76751529496</c:v>
                </c:pt>
                <c:pt idx="3">
                  <c:v>29131.90139918905</c:v>
                </c:pt>
                <c:pt idx="4">
                  <c:v>29313.215018253035</c:v>
                </c:pt>
                <c:pt idx="5">
                  <c:v>29269.036361374878</c:v>
                </c:pt>
                <c:pt idx="6">
                  <c:v>29263.621889419701</c:v>
                </c:pt>
                <c:pt idx="7">
                  <c:v>29110.949865468225</c:v>
                </c:pt>
                <c:pt idx="8">
                  <c:v>29230.399357589733</c:v>
                </c:pt>
                <c:pt idx="10">
                  <c:v>29290.849999954749</c:v>
                </c:pt>
              </c:numCache>
            </c:numRef>
          </c:val>
          <c:smooth val="0"/>
          <c:extLst>
            <c:ext xmlns:c16="http://schemas.microsoft.com/office/drawing/2014/chart" uri="{C3380CC4-5D6E-409C-BE32-E72D297353CC}">
              <c16:uniqueId val="{00000000-1EFD-42EF-88CD-F3324400BCA9}"/>
            </c:ext>
          </c:extLst>
        </c:ser>
        <c:dLbls>
          <c:showLegendKey val="0"/>
          <c:showVal val="0"/>
          <c:showCatName val="0"/>
          <c:showSerName val="0"/>
          <c:showPercent val="0"/>
          <c:showBubbleSize val="0"/>
        </c:dLbls>
        <c:smooth val="0"/>
        <c:axId val="143073280"/>
        <c:axId val="164220864"/>
      </c:lineChart>
      <c:catAx>
        <c:axId val="143073280"/>
        <c:scaling>
          <c:orientation val="minMax"/>
        </c:scaling>
        <c:delete val="0"/>
        <c:axPos val="b"/>
        <c:majorTickMark val="out"/>
        <c:minorTickMark val="none"/>
        <c:tickLblPos val="nextTo"/>
        <c:crossAx val="164220864"/>
        <c:crosses val="autoZero"/>
        <c:auto val="1"/>
        <c:lblAlgn val="ctr"/>
        <c:lblOffset val="100"/>
        <c:noMultiLvlLbl val="0"/>
      </c:catAx>
      <c:valAx>
        <c:axId val="164220864"/>
        <c:scaling>
          <c:orientation val="minMax"/>
        </c:scaling>
        <c:delete val="0"/>
        <c:axPos val="l"/>
        <c:majorGridlines/>
        <c:numFmt formatCode="0.00" sourceLinked="1"/>
        <c:majorTickMark val="out"/>
        <c:minorTickMark val="none"/>
        <c:tickLblPos val="nextTo"/>
        <c:crossAx val="143073280"/>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 will Donate, but only if you vote...</a:t>
            </a:r>
          </a:p>
        </c:rich>
      </c:tx>
      <c:overlay val="0"/>
    </c:title>
    <c:autoTitleDeleted val="0"/>
    <c:plotArea>
      <c:layout/>
      <c:lineChart>
        <c:grouping val="standard"/>
        <c:varyColors val="0"/>
        <c:ser>
          <c:idx val="0"/>
          <c:order val="0"/>
          <c:tx>
            <c:strRef>
              <c:f>'Conditional Charity'!$Y$24</c:f>
              <c:strCache>
                <c:ptCount val="1"/>
                <c:pt idx="0">
                  <c:v>1000|0 (Donations if No)</c:v>
                </c:pt>
              </c:strCache>
            </c:strRef>
          </c:tx>
          <c:marker>
            <c:symbol val="none"/>
          </c:marker>
          <c:val>
            <c:numRef>
              <c:f>'Conditional Charity'!$Y$25:$Y$50</c:f>
              <c:numCache>
                <c:formatCode>0.00</c:formatCode>
                <c:ptCount val="26"/>
                <c:pt idx="0">
                  <c:v>500</c:v>
                </c:pt>
                <c:pt idx="1">
                  <c:v>500</c:v>
                </c:pt>
                <c:pt idx="2">
                  <c:v>500</c:v>
                </c:pt>
                <c:pt idx="3">
                  <c:v>731.05857863000494</c:v>
                </c:pt>
                <c:pt idx="4">
                  <c:v>622.45933120185464</c:v>
                </c:pt>
                <c:pt idx="5">
                  <c:v>952.5741268224333</c:v>
                </c:pt>
                <c:pt idx="6">
                  <c:v>989.01305736940685</c:v>
                </c:pt>
                <c:pt idx="7">
                  <c:v>982.01379003790851</c:v>
                </c:pt>
                <c:pt idx="8">
                  <c:v>993.30714907571519</c:v>
                </c:pt>
                <c:pt idx="9">
                  <c:v>982.01379003790851</c:v>
                </c:pt>
                <c:pt idx="10">
                  <c:v>952.5741268224333</c:v>
                </c:pt>
                <c:pt idx="11">
                  <c:v>958.90872179953499</c:v>
                </c:pt>
                <c:pt idx="12">
                  <c:v>908.87703898514383</c:v>
                </c:pt>
                <c:pt idx="13">
                  <c:v>924.14181997875642</c:v>
                </c:pt>
                <c:pt idx="14">
                  <c:v>970.6877692486438</c:v>
                </c:pt>
                <c:pt idx="15">
                  <c:v>982.01379003790851</c:v>
                </c:pt>
                <c:pt idx="16">
                  <c:v>952.5741268224333</c:v>
                </c:pt>
                <c:pt idx="17">
                  <c:v>924.14181997875642</c:v>
                </c:pt>
                <c:pt idx="18">
                  <c:v>924.14181997875642</c:v>
                </c:pt>
                <c:pt idx="19">
                  <c:v>954.78252651671244</c:v>
                </c:pt>
                <c:pt idx="20">
                  <c:v>970.68776924864369</c:v>
                </c:pt>
                <c:pt idx="21">
                  <c:v>731.05857863000483</c:v>
                </c:pt>
                <c:pt idx="22">
                  <c:v>817.5744761936437</c:v>
                </c:pt>
                <c:pt idx="23">
                  <c:v>924.14181997875642</c:v>
                </c:pt>
                <c:pt idx="24">
                  <c:v>731.05857863000494</c:v>
                </c:pt>
                <c:pt idx="25">
                  <c:v>750</c:v>
                </c:pt>
              </c:numCache>
            </c:numRef>
          </c:val>
          <c:smooth val="0"/>
          <c:extLst>
            <c:ext xmlns:c16="http://schemas.microsoft.com/office/drawing/2014/chart" uri="{C3380CC4-5D6E-409C-BE32-E72D297353CC}">
              <c16:uniqueId val="{00000000-410D-4F9F-BB4C-4C4C559E3727}"/>
            </c:ext>
          </c:extLst>
        </c:ser>
        <c:ser>
          <c:idx val="1"/>
          <c:order val="1"/>
          <c:tx>
            <c:strRef>
              <c:f>'Conditional Charity'!$Z$24</c:f>
              <c:strCache>
                <c:ptCount val="1"/>
                <c:pt idx="0">
                  <c:v>1000|1 (Donations if Yes)</c:v>
                </c:pt>
              </c:strCache>
            </c:strRef>
          </c:tx>
          <c:marker>
            <c:symbol val="none"/>
          </c:marker>
          <c:val>
            <c:numRef>
              <c:f>'Conditional Charity'!$Z$25:$Z$50</c:f>
              <c:numCache>
                <c:formatCode>0.00</c:formatCode>
                <c:ptCount val="26"/>
                <c:pt idx="0">
                  <c:v>500</c:v>
                </c:pt>
                <c:pt idx="1">
                  <c:v>500</c:v>
                </c:pt>
                <c:pt idx="2">
                  <c:v>500</c:v>
                </c:pt>
                <c:pt idx="3">
                  <c:v>817.5744761936437</c:v>
                </c:pt>
                <c:pt idx="4">
                  <c:v>377.54066879814553</c:v>
                </c:pt>
                <c:pt idx="5">
                  <c:v>268.94142136999517</c:v>
                </c:pt>
                <c:pt idx="6">
                  <c:v>500</c:v>
                </c:pt>
                <c:pt idx="7">
                  <c:v>268.94142136999511</c:v>
                </c:pt>
                <c:pt idx="8">
                  <c:v>377.54066879814548</c:v>
                </c:pt>
                <c:pt idx="9">
                  <c:v>377.54066879814542</c:v>
                </c:pt>
                <c:pt idx="10">
                  <c:v>500</c:v>
                </c:pt>
                <c:pt idx="11">
                  <c:v>119.20292202211756</c:v>
                </c:pt>
                <c:pt idx="12">
                  <c:v>500</c:v>
                </c:pt>
                <c:pt idx="13">
                  <c:v>377.54066879814548</c:v>
                </c:pt>
                <c:pt idx="14">
                  <c:v>268.94142136999511</c:v>
                </c:pt>
                <c:pt idx="15">
                  <c:v>377.54066879814548</c:v>
                </c:pt>
                <c:pt idx="16">
                  <c:v>377.54066879814542</c:v>
                </c:pt>
                <c:pt idx="17">
                  <c:v>377.54066879814548</c:v>
                </c:pt>
                <c:pt idx="18">
                  <c:v>377.54066879814548</c:v>
                </c:pt>
                <c:pt idx="19">
                  <c:v>182.42552380635632</c:v>
                </c:pt>
                <c:pt idx="20">
                  <c:v>377.54066879814542</c:v>
                </c:pt>
                <c:pt idx="21">
                  <c:v>500</c:v>
                </c:pt>
                <c:pt idx="22">
                  <c:v>268.94142136999511</c:v>
                </c:pt>
                <c:pt idx="23">
                  <c:v>182.42552380635635</c:v>
                </c:pt>
                <c:pt idx="24">
                  <c:v>500</c:v>
                </c:pt>
                <c:pt idx="25">
                  <c:v>0</c:v>
                </c:pt>
              </c:numCache>
            </c:numRef>
          </c:val>
          <c:smooth val="0"/>
          <c:extLst>
            <c:ext xmlns:c16="http://schemas.microsoft.com/office/drawing/2014/chart" uri="{C3380CC4-5D6E-409C-BE32-E72D297353CC}">
              <c16:uniqueId val="{00000001-410D-4F9F-BB4C-4C4C559E3727}"/>
            </c:ext>
          </c:extLst>
        </c:ser>
        <c:dLbls>
          <c:showLegendKey val="0"/>
          <c:showVal val="0"/>
          <c:showCatName val="0"/>
          <c:showSerName val="0"/>
          <c:showPercent val="0"/>
          <c:showBubbleSize val="0"/>
        </c:dLbls>
        <c:smooth val="0"/>
        <c:axId val="174673920"/>
        <c:axId val="173249024"/>
      </c:lineChart>
      <c:catAx>
        <c:axId val="174673920"/>
        <c:scaling>
          <c:orientation val="minMax"/>
        </c:scaling>
        <c:delete val="0"/>
        <c:axPos val="b"/>
        <c:majorTickMark val="out"/>
        <c:minorTickMark val="none"/>
        <c:tickLblPos val="nextTo"/>
        <c:crossAx val="173249024"/>
        <c:crosses val="autoZero"/>
        <c:auto val="1"/>
        <c:lblAlgn val="ctr"/>
        <c:lblOffset val="100"/>
        <c:noMultiLvlLbl val="0"/>
      </c:catAx>
      <c:valAx>
        <c:axId val="173249024"/>
        <c:scaling>
          <c:orientation val="minMax"/>
          <c:max val="1000"/>
          <c:min val="0"/>
        </c:scaling>
        <c:delete val="0"/>
        <c:axPos val="l"/>
        <c:majorGridlines/>
        <c:numFmt formatCode="0.00" sourceLinked="1"/>
        <c:majorTickMark val="out"/>
        <c:minorTickMark val="none"/>
        <c:tickLblPos val="nextTo"/>
        <c:crossAx val="1746739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Pick Your Poison (Can't</a:t>
            </a:r>
            <a:r>
              <a:rPr lang="en-US" baseline="0"/>
              <a:t> have Both</a:t>
            </a:r>
            <a:r>
              <a:rPr lang="en-US"/>
              <a:t>)</a:t>
            </a:r>
          </a:p>
        </c:rich>
      </c:tx>
      <c:overlay val="0"/>
    </c:title>
    <c:autoTitleDeleted val="0"/>
    <c:plotArea>
      <c:layout/>
      <c:lineChart>
        <c:grouping val="standard"/>
        <c:varyColors val="0"/>
        <c:ser>
          <c:idx val="0"/>
          <c:order val="0"/>
          <c:tx>
            <c:v>Getting Both</c:v>
          </c:tx>
          <c:marker>
            <c:symbol val="none"/>
          </c:marker>
          <c:val>
            <c:numRef>
              <c:f>'Conditional Charity'!$L$25:$L$50</c:f>
              <c:numCache>
                <c:formatCode>0.0%</c:formatCode>
                <c:ptCount val="26"/>
                <c:pt idx="0">
                  <c:v>0.25</c:v>
                </c:pt>
                <c:pt idx="1">
                  <c:v>0.25</c:v>
                </c:pt>
                <c:pt idx="2">
                  <c:v>0.1887703343990727</c:v>
                </c:pt>
                <c:pt idx="3">
                  <c:v>0.57925852994137372</c:v>
                </c:pt>
                <c:pt idx="4">
                  <c:v>0.23500371220159449</c:v>
                </c:pt>
                <c:pt idx="5">
                  <c:v>4.031637265264288E-2</c:v>
                </c:pt>
                <c:pt idx="6">
                  <c:v>0.27269973677797449</c:v>
                </c:pt>
                <c:pt idx="7">
                  <c:v>0.18528124038143898</c:v>
                </c:pt>
                <c:pt idx="8">
                  <c:v>0.23209656219604313</c:v>
                </c:pt>
                <c:pt idx="9">
                  <c:v>0.23107282892557152</c:v>
                </c:pt>
                <c:pt idx="10">
                  <c:v>0.20603190919001854</c:v>
                </c:pt>
                <c:pt idx="11">
                  <c:v>1.3415374928937527E-2</c:v>
                </c:pt>
                <c:pt idx="12">
                  <c:v>3.1415993520317584E-2</c:v>
                </c:pt>
                <c:pt idx="13">
                  <c:v>2.5985868066283169E-2</c:v>
                </c:pt>
                <c:pt idx="14">
                  <c:v>2.6431438293293905E-2</c:v>
                </c:pt>
                <c:pt idx="15">
                  <c:v>2.7494656222464591E-2</c:v>
                </c:pt>
                <c:pt idx="16">
                  <c:v>0.13598891579350553</c:v>
                </c:pt>
                <c:pt idx="17">
                  <c:v>0.13336374413970897</c:v>
                </c:pt>
                <c:pt idx="18">
                  <c:v>6.3166344805694344E-2</c:v>
                </c:pt>
                <c:pt idx="19">
                  <c:v>9.600347689500062E-2</c:v>
                </c:pt>
                <c:pt idx="20">
                  <c:v>6.5793392405429307E-2</c:v>
                </c:pt>
                <c:pt idx="21">
                  <c:v>0.23500371220159449</c:v>
                </c:pt>
                <c:pt idx="22">
                  <c:v>1.418461328787491E-2</c:v>
                </c:pt>
                <c:pt idx="23">
                  <c:v>9.7193180995781923E-3</c:v>
                </c:pt>
                <c:pt idx="24">
                  <c:v>7.9915236619744669E-3</c:v>
                </c:pt>
                <c:pt idx="25">
                  <c:v>0</c:v>
                </c:pt>
              </c:numCache>
            </c:numRef>
          </c:val>
          <c:smooth val="0"/>
          <c:extLst>
            <c:ext xmlns:c16="http://schemas.microsoft.com/office/drawing/2014/chart" uri="{C3380CC4-5D6E-409C-BE32-E72D297353CC}">
              <c16:uniqueId val="{00000000-9CE0-4F5D-A495-4A532FDC3FF5}"/>
            </c:ext>
          </c:extLst>
        </c:ser>
        <c:ser>
          <c:idx val="1"/>
          <c:order val="1"/>
          <c:tx>
            <c:strRef>
              <c:f>'Conditional Charity'!$N$24</c:f>
              <c:strCache>
                <c:ptCount val="1"/>
                <c:pt idx="0">
                  <c:v>Passing Law (Reguardless of Donations)</c:v>
                </c:pt>
              </c:strCache>
            </c:strRef>
          </c:tx>
          <c:marker>
            <c:symbol val="none"/>
          </c:marker>
          <c:val>
            <c:numRef>
              <c:f>'Conditional Charity'!$N$25:$N$50</c:f>
              <c:numCache>
                <c:formatCode>0.00</c:formatCode>
                <c:ptCount val="26"/>
                <c:pt idx="0">
                  <c:v>0.5</c:v>
                </c:pt>
                <c:pt idx="1">
                  <c:v>0.5</c:v>
                </c:pt>
                <c:pt idx="2">
                  <c:v>0.37754066879814541</c:v>
                </c:pt>
                <c:pt idx="3">
                  <c:v>0.70850857849453652</c:v>
                </c:pt>
                <c:pt idx="4">
                  <c:v>0.62245933120185448</c:v>
                </c:pt>
                <c:pt idx="5">
                  <c:v>0.1499076358237052</c:v>
                </c:pt>
                <c:pt idx="6">
                  <c:v>0.54539947355594898</c:v>
                </c:pt>
                <c:pt idx="7">
                  <c:v>0.68892786926465688</c:v>
                </c:pt>
                <c:pt idx="8">
                  <c:v>0.61475910114503463</c:v>
                </c:pt>
                <c:pt idx="9">
                  <c:v>0.61204751705601312</c:v>
                </c:pt>
                <c:pt idx="10">
                  <c:v>0.41206381838003708</c:v>
                </c:pt>
                <c:pt idx="11">
                  <c:v>0.11254233286704469</c:v>
                </c:pt>
                <c:pt idx="12">
                  <c:v>6.2831987040635168E-2</c:v>
                </c:pt>
                <c:pt idx="13">
                  <c:v>6.882932148477143E-2</c:v>
                </c:pt>
                <c:pt idx="14">
                  <c:v>9.8279536705991294E-2</c:v>
                </c:pt>
                <c:pt idx="15">
                  <c:v>7.2825680767029596E-2</c:v>
                </c:pt>
                <c:pt idx="16">
                  <c:v>0.3601967338417067</c:v>
                </c:pt>
                <c:pt idx="17">
                  <c:v>0.3532433858430567</c:v>
                </c:pt>
                <c:pt idx="18">
                  <c:v>0.16731004107922115</c:v>
                </c:pt>
                <c:pt idx="19">
                  <c:v>0.52626121000977788</c:v>
                </c:pt>
                <c:pt idx="20">
                  <c:v>0.17426835793578088</c:v>
                </c:pt>
                <c:pt idx="21">
                  <c:v>0.47000742440318899</c:v>
                </c:pt>
                <c:pt idx="22">
                  <c:v>5.2742389832023992E-2</c:v>
                </c:pt>
                <c:pt idx="23">
                  <c:v>5.3278279797596702E-2</c:v>
                </c:pt>
                <c:pt idx="24">
                  <c:v>1.5983047323948934E-2</c:v>
                </c:pt>
                <c:pt idx="25">
                  <c:v>0</c:v>
                </c:pt>
              </c:numCache>
            </c:numRef>
          </c:val>
          <c:smooth val="0"/>
          <c:extLst>
            <c:ext xmlns:c16="http://schemas.microsoft.com/office/drawing/2014/chart" uri="{C3380CC4-5D6E-409C-BE32-E72D297353CC}">
              <c16:uniqueId val="{00000001-9CE0-4F5D-A495-4A532FDC3FF5}"/>
            </c:ext>
          </c:extLst>
        </c:ser>
        <c:ser>
          <c:idx val="2"/>
          <c:order val="2"/>
          <c:tx>
            <c:strRef>
              <c:f>'Conditional Charity'!$P$24</c:f>
              <c:strCache>
                <c:ptCount val="1"/>
                <c:pt idx="0">
                  <c:v>Getting Donations (Reguardless of Law)</c:v>
                </c:pt>
              </c:strCache>
            </c:strRef>
          </c:tx>
          <c:marker>
            <c:symbol val="none"/>
          </c:marker>
          <c:val>
            <c:numRef>
              <c:f>'Conditional Charity'!$P$25:$P$50</c:f>
              <c:numCache>
                <c:formatCode>0.00</c:formatCode>
                <c:ptCount val="26"/>
                <c:pt idx="0">
                  <c:v>0.5</c:v>
                </c:pt>
                <c:pt idx="1">
                  <c:v>0.5</c:v>
                </c:pt>
                <c:pt idx="2">
                  <c:v>0.49999999999999994</c:v>
                </c:pt>
                <c:pt idx="3">
                  <c:v>0.79235583422999745</c:v>
                </c:pt>
                <c:pt idx="4">
                  <c:v>0.47000742440318899</c:v>
                </c:pt>
                <c:pt idx="5">
                  <c:v>0.85009236417629486</c:v>
                </c:pt>
                <c:pt idx="6">
                  <c:v>0.72230559331814703</c:v>
                </c:pt>
                <c:pt idx="7">
                  <c:v>0.49075836246002091</c:v>
                </c:pt>
                <c:pt idx="8">
                  <c:v>0.61475910114503463</c:v>
                </c:pt>
                <c:pt idx="9">
                  <c:v>0.61204751705601312</c:v>
                </c:pt>
                <c:pt idx="10">
                  <c:v>0.76608470402397011</c:v>
                </c:pt>
                <c:pt idx="11">
                  <c:v>0.86440627217059707</c:v>
                </c:pt>
                <c:pt idx="12">
                  <c:v>0.88318648217041595</c:v>
                </c:pt>
                <c:pt idx="13">
                  <c:v>0.88651963362020014</c:v>
                </c:pt>
                <c:pt idx="14">
                  <c:v>0.90172046329400857</c:v>
                </c:pt>
                <c:pt idx="15">
                  <c:v>0.93799262347825152</c:v>
                </c:pt>
                <c:pt idx="16">
                  <c:v>0.74544895339238271</c:v>
                </c:pt>
                <c:pt idx="17">
                  <c:v>0.73105857863000479</c:v>
                </c:pt>
                <c:pt idx="18">
                  <c:v>0.83268995892077891</c:v>
                </c:pt>
                <c:pt idx="19">
                  <c:v>0.54832099571083515</c:v>
                </c:pt>
                <c:pt idx="20">
                  <c:v>0.86732099803876572</c:v>
                </c:pt>
                <c:pt idx="21">
                  <c:v>0.62245933120185448</c:v>
                </c:pt>
                <c:pt idx="22">
                  <c:v>0.78863825774140062</c:v>
                </c:pt>
                <c:pt idx="23">
                  <c:v>0.88462445162084635</c:v>
                </c:pt>
                <c:pt idx="24">
                  <c:v>0.72736555843315698</c:v>
                </c:pt>
                <c:pt idx="25">
                  <c:v>0.75</c:v>
                </c:pt>
              </c:numCache>
            </c:numRef>
          </c:val>
          <c:smooth val="0"/>
          <c:extLst>
            <c:ext xmlns:c16="http://schemas.microsoft.com/office/drawing/2014/chart" uri="{C3380CC4-5D6E-409C-BE32-E72D297353CC}">
              <c16:uniqueId val="{00000002-9CE0-4F5D-A495-4A532FDC3FF5}"/>
            </c:ext>
          </c:extLst>
        </c:ser>
        <c:dLbls>
          <c:showLegendKey val="0"/>
          <c:showVal val="0"/>
          <c:showCatName val="0"/>
          <c:showSerName val="0"/>
          <c:showPercent val="0"/>
          <c:showBubbleSize val="0"/>
        </c:dLbls>
        <c:smooth val="0"/>
        <c:axId val="174675456"/>
        <c:axId val="173250752"/>
      </c:lineChart>
      <c:catAx>
        <c:axId val="174675456"/>
        <c:scaling>
          <c:orientation val="minMax"/>
        </c:scaling>
        <c:delete val="0"/>
        <c:axPos val="b"/>
        <c:majorTickMark val="out"/>
        <c:minorTickMark val="none"/>
        <c:tickLblPos val="nextTo"/>
        <c:crossAx val="173250752"/>
        <c:crosses val="autoZero"/>
        <c:auto val="1"/>
        <c:lblAlgn val="ctr"/>
        <c:lblOffset val="100"/>
        <c:noMultiLvlLbl val="0"/>
      </c:catAx>
      <c:valAx>
        <c:axId val="173250752"/>
        <c:scaling>
          <c:orientation val="minMax"/>
          <c:max val="1"/>
          <c:min val="0"/>
        </c:scaling>
        <c:delete val="0"/>
        <c:axPos val="l"/>
        <c:majorGridlines/>
        <c:numFmt formatCode="0.0%" sourceLinked="1"/>
        <c:majorTickMark val="out"/>
        <c:minorTickMark val="none"/>
        <c:tickLblPos val="nextTo"/>
        <c:crossAx val="1746754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'Long Variability'!$O$79</c:f>
              <c:strCache>
                <c:ptCount val="1"/>
                <c:pt idx="0">
                  <c:v>Short Var</c:v>
                </c:pt>
              </c:strCache>
            </c:strRef>
          </c:tx>
          <c:xVal>
            <c:numRef>
              <c:f>'Long Variability'!$N$80:$N$84</c:f>
              <c:numCache>
                <c:formatCode>0.00</c:formatCode>
                <c:ptCount val="5"/>
                <c:pt idx="0">
                  <c:v>65</c:v>
                </c:pt>
                <c:pt idx="1">
                  <c:v>95</c:v>
                </c:pt>
                <c:pt idx="2">
                  <c:v>105</c:v>
                </c:pt>
                <c:pt idx="3">
                  <c:v>120</c:v>
                </c:pt>
                <c:pt idx="4">
                  <c:v>145</c:v>
                </c:pt>
              </c:numCache>
            </c:numRef>
          </c:xVal>
          <c:yVal>
            <c:numRef>
              <c:f>'Long Variability'!$O$80:$O$84</c:f>
              <c:numCache>
                <c:formatCode>0%</c:formatCode>
                <c:ptCount val="5"/>
                <c:pt idx="3">
                  <c:v>6.0859600727975929</c:v>
                </c:pt>
                <c:pt idx="4">
                  <c:v>-0.61213325578235889</c:v>
                </c:pt>
              </c:numCache>
            </c:numRef>
          </c:yVal>
          <c:smooth val="0"/>
          <c:extLst>
            <c:ext xmlns:c16="http://schemas.microsoft.com/office/drawing/2014/chart" uri="{C3380CC4-5D6E-409C-BE32-E72D297353CC}">
              <c16:uniqueId val="{00000000-8689-44E9-AAFC-70F63FE6C9C1}"/>
            </c:ext>
          </c:extLst>
        </c:ser>
        <c:ser>
          <c:idx val="1"/>
          <c:order val="1"/>
          <c:tx>
            <c:strRef>
              <c:f>'Long Variability'!$P$79</c:f>
              <c:strCache>
                <c:ptCount val="1"/>
                <c:pt idx="0">
                  <c:v>Long Var</c:v>
                </c:pt>
              </c:strCache>
            </c:strRef>
          </c:tx>
          <c:xVal>
            <c:numRef>
              <c:f>'Long Variability'!$N$80:$N$84</c:f>
              <c:numCache>
                <c:formatCode>0.00</c:formatCode>
                <c:ptCount val="5"/>
                <c:pt idx="0">
                  <c:v>65</c:v>
                </c:pt>
                <c:pt idx="1">
                  <c:v>95</c:v>
                </c:pt>
                <c:pt idx="2">
                  <c:v>105</c:v>
                </c:pt>
                <c:pt idx="3">
                  <c:v>120</c:v>
                </c:pt>
                <c:pt idx="4">
                  <c:v>145</c:v>
                </c:pt>
              </c:numCache>
            </c:numRef>
          </c:xVal>
          <c:yVal>
            <c:numRef>
              <c:f>'Long Variability'!$P$80:$P$84</c:f>
              <c:numCache>
                <c:formatCode>0%</c:formatCode>
                <c:ptCount val="5"/>
                <c:pt idx="0">
                  <c:v>-0.84244720133307038</c:v>
                </c:pt>
                <c:pt idx="1">
                  <c:v>-0.45959258390562502</c:v>
                </c:pt>
                <c:pt idx="2">
                  <c:v>-0.28057420203114469</c:v>
                </c:pt>
                <c:pt idx="3">
                  <c:v>4.1207673678905689E-2</c:v>
                </c:pt>
                <c:pt idx="4">
                  <c:v>0.73180503265079544</c:v>
                </c:pt>
              </c:numCache>
            </c:numRef>
          </c:yVal>
          <c:smooth val="0"/>
          <c:extLst>
            <c:ext xmlns:c16="http://schemas.microsoft.com/office/drawing/2014/chart" uri="{C3380CC4-5D6E-409C-BE32-E72D297353CC}">
              <c16:uniqueId val="{00000001-8689-44E9-AAFC-70F63FE6C9C1}"/>
            </c:ext>
          </c:extLst>
        </c:ser>
        <c:ser>
          <c:idx val="2"/>
          <c:order val="2"/>
          <c:tx>
            <c:strRef>
              <c:f>'Long Variability'!$Q$79</c:f>
              <c:strCache>
                <c:ptCount val="1"/>
                <c:pt idx="0">
                  <c:v>Short X2</c:v>
                </c:pt>
              </c:strCache>
            </c:strRef>
          </c:tx>
          <c:xVal>
            <c:numRef>
              <c:f>'Long Variability'!$N$80:$N$84</c:f>
              <c:numCache>
                <c:formatCode>0.00</c:formatCode>
                <c:ptCount val="5"/>
                <c:pt idx="0">
                  <c:v>65</c:v>
                </c:pt>
                <c:pt idx="1">
                  <c:v>95</c:v>
                </c:pt>
                <c:pt idx="2">
                  <c:v>105</c:v>
                </c:pt>
                <c:pt idx="3">
                  <c:v>120</c:v>
                </c:pt>
                <c:pt idx="4">
                  <c:v>145</c:v>
                </c:pt>
              </c:numCache>
            </c:numRef>
          </c:xVal>
          <c:yVal>
            <c:numRef>
              <c:f>'Long Variability'!$Q$80:$Q$84</c:f>
              <c:numCache>
                <c:formatCode>0%</c:formatCode>
                <c:ptCount val="5"/>
                <c:pt idx="0">
                  <c:v>0.93386243386243384</c:v>
                </c:pt>
                <c:pt idx="1">
                  <c:v>0.42592592592592621</c:v>
                </c:pt>
                <c:pt idx="2">
                  <c:v>0.21428571428571441</c:v>
                </c:pt>
                <c:pt idx="3">
                  <c:v>-0.14285714285714293</c:v>
                </c:pt>
                <c:pt idx="4">
                  <c:v>-0.84391534391534384</c:v>
                </c:pt>
              </c:numCache>
            </c:numRef>
          </c:yVal>
          <c:smooth val="0"/>
          <c:extLst>
            <c:ext xmlns:c16="http://schemas.microsoft.com/office/drawing/2014/chart" uri="{C3380CC4-5D6E-409C-BE32-E72D297353CC}">
              <c16:uniqueId val="{00000002-8689-44E9-AAFC-70F63FE6C9C1}"/>
            </c:ext>
          </c:extLst>
        </c:ser>
        <c:ser>
          <c:idx val="3"/>
          <c:order val="3"/>
          <c:tx>
            <c:strRef>
              <c:f>'Long Variability'!$R$79</c:f>
              <c:strCache>
                <c:ptCount val="1"/>
                <c:pt idx="0">
                  <c:v>Long X2</c:v>
                </c:pt>
              </c:strCache>
            </c:strRef>
          </c:tx>
          <c:xVal>
            <c:numRef>
              <c:f>'Long Variability'!$N$80:$N$84</c:f>
              <c:numCache>
                <c:formatCode>0.00</c:formatCode>
                <c:ptCount val="5"/>
                <c:pt idx="0">
                  <c:v>65</c:v>
                </c:pt>
                <c:pt idx="1">
                  <c:v>95</c:v>
                </c:pt>
                <c:pt idx="2">
                  <c:v>105</c:v>
                </c:pt>
                <c:pt idx="3">
                  <c:v>120</c:v>
                </c:pt>
                <c:pt idx="4">
                  <c:v>145</c:v>
                </c:pt>
              </c:numCache>
            </c:numRef>
          </c:xVal>
          <c:yVal>
            <c:numRef>
              <c:f>'Long Variability'!$R$80:$R$84</c:f>
              <c:numCache>
                <c:formatCode>0%</c:formatCode>
                <c:ptCount val="5"/>
                <c:pt idx="0">
                  <c:v>-0.93386243386243384</c:v>
                </c:pt>
                <c:pt idx="1">
                  <c:v>-0.42592592592592587</c:v>
                </c:pt>
                <c:pt idx="2">
                  <c:v>-0.21428571428571427</c:v>
                </c:pt>
                <c:pt idx="3">
                  <c:v>0.14285714285714293</c:v>
                </c:pt>
                <c:pt idx="4">
                  <c:v>0.84391534391534384</c:v>
                </c:pt>
              </c:numCache>
            </c:numRef>
          </c:yVal>
          <c:smooth val="0"/>
          <c:extLst>
            <c:ext xmlns:c16="http://schemas.microsoft.com/office/drawing/2014/chart" uri="{C3380CC4-5D6E-409C-BE32-E72D297353CC}">
              <c16:uniqueId val="{00000003-8689-44E9-AAFC-70F63FE6C9C1}"/>
            </c:ext>
          </c:extLst>
        </c:ser>
        <c:dLbls>
          <c:showLegendKey val="0"/>
          <c:showVal val="0"/>
          <c:showCatName val="0"/>
          <c:showSerName val="0"/>
          <c:showPercent val="0"/>
          <c:showBubbleSize val="0"/>
        </c:dLbls>
        <c:axId val="173246144"/>
        <c:axId val="173246720"/>
      </c:scatterChart>
      <c:valAx>
        <c:axId val="173246144"/>
        <c:scaling>
          <c:orientation val="minMax"/>
          <c:max val="150"/>
          <c:min val="60"/>
        </c:scaling>
        <c:delete val="0"/>
        <c:axPos val="b"/>
        <c:numFmt formatCode="0.00" sourceLinked="1"/>
        <c:majorTickMark val="out"/>
        <c:minorTickMark val="none"/>
        <c:tickLblPos val="nextTo"/>
        <c:crossAx val="173246720"/>
        <c:crosses val="autoZero"/>
        <c:crossBetween val="midCat"/>
      </c:valAx>
      <c:valAx>
        <c:axId val="173246720"/>
        <c:scaling>
          <c:orientation val="minMax"/>
        </c:scaling>
        <c:delete val="0"/>
        <c:axPos val="l"/>
        <c:majorGridlines/>
        <c:numFmt formatCode="0%" sourceLinked="1"/>
        <c:majorTickMark val="out"/>
        <c:minorTickMark val="none"/>
        <c:tickLblPos val="nextTo"/>
        <c:crossAx val="1732461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DistCalculator!$D$26</c:f>
              <c:strCache>
                <c:ptCount val="1"/>
                <c:pt idx="0">
                  <c:v>Normal</c:v>
                </c:pt>
              </c:strCache>
            </c:strRef>
          </c:tx>
          <c:xVal>
            <c:numRef>
              <c:f>DistCalculator!$C$27:$C$51</c:f>
              <c:numCache>
                <c:formatCode>0.0000</c:formatCode>
                <c:ptCount val="25"/>
                <c:pt idx="0">
                  <c:v>-7.2970585407783535</c:v>
                </c:pt>
                <c:pt idx="1">
                  <c:v>-6.0223036623801569</c:v>
                </c:pt>
                <c:pt idx="2">
                  <c:v>-4.7475487839819621</c:v>
                </c:pt>
                <c:pt idx="3">
                  <c:v>-3.4727939055837656</c:v>
                </c:pt>
                <c:pt idx="4">
                  <c:v>-2.198039027185569</c:v>
                </c:pt>
                <c:pt idx="5">
                  <c:v>-0.92328414878737242</c:v>
                </c:pt>
                <c:pt idx="6">
                  <c:v>0.35147072961082326</c:v>
                </c:pt>
                <c:pt idx="7">
                  <c:v>1.6262256080090189</c:v>
                </c:pt>
                <c:pt idx="8">
                  <c:v>2.9009804864072155</c:v>
                </c:pt>
                <c:pt idx="9">
                  <c:v>4.1757353648054121</c:v>
                </c:pt>
                <c:pt idx="10">
                  <c:v>5.4504902432036078</c:v>
                </c:pt>
                <c:pt idx="11">
                  <c:v>6.7252451216018034</c:v>
                </c:pt>
                <c:pt idx="12">
                  <c:v>8</c:v>
                </c:pt>
                <c:pt idx="13">
                  <c:v>9.2747548783981966</c:v>
                </c:pt>
                <c:pt idx="14">
                  <c:v>10.549509756796393</c:v>
                </c:pt>
                <c:pt idx="15">
                  <c:v>11.824264635194588</c:v>
                </c:pt>
                <c:pt idx="16">
                  <c:v>13.099019513592784</c:v>
                </c:pt>
                <c:pt idx="17">
                  <c:v>14.373774391990981</c:v>
                </c:pt>
                <c:pt idx="18">
                  <c:v>15.648529270389176</c:v>
                </c:pt>
                <c:pt idx="19">
                  <c:v>16.923284148787374</c:v>
                </c:pt>
                <c:pt idx="20">
                  <c:v>18.198039027185569</c:v>
                </c:pt>
                <c:pt idx="21">
                  <c:v>19.472793905583764</c:v>
                </c:pt>
                <c:pt idx="22">
                  <c:v>20.747548783981962</c:v>
                </c:pt>
                <c:pt idx="23">
                  <c:v>22.022303662380157</c:v>
                </c:pt>
                <c:pt idx="24">
                  <c:v>23.297058540778352</c:v>
                </c:pt>
              </c:numCache>
            </c:numRef>
          </c:xVal>
          <c:yVal>
            <c:numRef>
              <c:f>DistCalculator!$D$27:$D$51</c:f>
              <c:numCache>
                <c:formatCode>0.0%</c:formatCode>
                <c:ptCount val="25"/>
                <c:pt idx="0">
                  <c:v>8.6915698206758052E-4</c:v>
                </c:pt>
                <c:pt idx="1">
                  <c:v>1.7833943324495538E-3</c:v>
                </c:pt>
                <c:pt idx="2">
                  <c:v>3.4375825483393858E-3</c:v>
                </c:pt>
                <c:pt idx="3">
                  <c:v>6.2246578486426628E-3</c:v>
                </c:pt>
                <c:pt idx="4">
                  <c:v>1.058849968494156E-2</c:v>
                </c:pt>
                <c:pt idx="5">
                  <c:v>1.6920374318340325E-2</c:v>
                </c:pt>
                <c:pt idx="6">
                  <c:v>2.5400490294384705E-2</c:v>
                </c:pt>
                <c:pt idx="7">
                  <c:v>3.5820432713019143E-2</c:v>
                </c:pt>
                <c:pt idx="8">
                  <c:v>4.7454363309280621E-2</c:v>
                </c:pt>
                <c:pt idx="9">
                  <c:v>5.9057909339637359E-2</c:v>
                </c:pt>
                <c:pt idx="10">
                  <c:v>6.904569120117629E-2</c:v>
                </c:pt>
                <c:pt idx="11">
                  <c:v>7.5831856648534715E-2</c:v>
                </c:pt>
                <c:pt idx="12">
                  <c:v>7.8239018175542685E-2</c:v>
                </c:pt>
                <c:pt idx="13">
                  <c:v>7.5831856648534715E-2</c:v>
                </c:pt>
                <c:pt idx="14">
                  <c:v>6.9045691201176276E-2</c:v>
                </c:pt>
                <c:pt idx="15">
                  <c:v>5.9057909339637359E-2</c:v>
                </c:pt>
                <c:pt idx="16">
                  <c:v>4.7454363309280621E-2</c:v>
                </c:pt>
                <c:pt idx="17">
                  <c:v>3.5820432713019143E-2</c:v>
                </c:pt>
                <c:pt idx="18">
                  <c:v>2.5400490294384712E-2</c:v>
                </c:pt>
                <c:pt idx="19">
                  <c:v>1.6920374318340318E-2</c:v>
                </c:pt>
                <c:pt idx="20">
                  <c:v>1.058849968494156E-2</c:v>
                </c:pt>
                <c:pt idx="21">
                  <c:v>6.2246578486426681E-3</c:v>
                </c:pt>
                <c:pt idx="22">
                  <c:v>3.4375825483393858E-3</c:v>
                </c:pt>
                <c:pt idx="23">
                  <c:v>1.7833943324495538E-3</c:v>
                </c:pt>
                <c:pt idx="24">
                  <c:v>8.6915698206758226E-4</c:v>
                </c:pt>
              </c:numCache>
            </c:numRef>
          </c:yVal>
          <c:smooth val="1"/>
          <c:extLst>
            <c:ext xmlns:c16="http://schemas.microsoft.com/office/drawing/2014/chart" uri="{C3380CC4-5D6E-409C-BE32-E72D297353CC}">
              <c16:uniqueId val="{00000000-9B48-4590-8BD7-561D0ED4E678}"/>
            </c:ext>
          </c:extLst>
        </c:ser>
        <c:ser>
          <c:idx val="1"/>
          <c:order val="1"/>
          <c:tx>
            <c:strRef>
              <c:f>DistCalculator!$E$26</c:f>
              <c:strCache>
                <c:ptCount val="1"/>
                <c:pt idx="0">
                  <c:v>Beta</c:v>
                </c:pt>
              </c:strCache>
            </c:strRef>
          </c:tx>
          <c:xVal>
            <c:numRef>
              <c:f>DistCalculator!$C$27:$C$51</c:f>
              <c:numCache>
                <c:formatCode>0.0000</c:formatCode>
                <c:ptCount val="25"/>
                <c:pt idx="0">
                  <c:v>-7.2970585407783535</c:v>
                </c:pt>
                <c:pt idx="1">
                  <c:v>-6.0223036623801569</c:v>
                </c:pt>
                <c:pt idx="2">
                  <c:v>-4.7475487839819621</c:v>
                </c:pt>
                <c:pt idx="3">
                  <c:v>-3.4727939055837656</c:v>
                </c:pt>
                <c:pt idx="4">
                  <c:v>-2.198039027185569</c:v>
                </c:pt>
                <c:pt idx="5">
                  <c:v>-0.92328414878737242</c:v>
                </c:pt>
                <c:pt idx="6">
                  <c:v>0.35147072961082326</c:v>
                </c:pt>
                <c:pt idx="7">
                  <c:v>1.6262256080090189</c:v>
                </c:pt>
                <c:pt idx="8">
                  <c:v>2.9009804864072155</c:v>
                </c:pt>
                <c:pt idx="9">
                  <c:v>4.1757353648054121</c:v>
                </c:pt>
                <c:pt idx="10">
                  <c:v>5.4504902432036078</c:v>
                </c:pt>
                <c:pt idx="11">
                  <c:v>6.7252451216018034</c:v>
                </c:pt>
                <c:pt idx="12">
                  <c:v>8</c:v>
                </c:pt>
                <c:pt idx="13">
                  <c:v>9.2747548783981966</c:v>
                </c:pt>
                <c:pt idx="14">
                  <c:v>10.549509756796393</c:v>
                </c:pt>
                <c:pt idx="15">
                  <c:v>11.824264635194588</c:v>
                </c:pt>
                <c:pt idx="16">
                  <c:v>13.099019513592784</c:v>
                </c:pt>
                <c:pt idx="17">
                  <c:v>14.373774391990981</c:v>
                </c:pt>
                <c:pt idx="18">
                  <c:v>15.648529270389176</c:v>
                </c:pt>
                <c:pt idx="19">
                  <c:v>16.923284148787374</c:v>
                </c:pt>
                <c:pt idx="20">
                  <c:v>18.198039027185569</c:v>
                </c:pt>
                <c:pt idx="21">
                  <c:v>19.472793905583764</c:v>
                </c:pt>
                <c:pt idx="22">
                  <c:v>20.747548783981962</c:v>
                </c:pt>
                <c:pt idx="23">
                  <c:v>22.022303662380157</c:v>
                </c:pt>
                <c:pt idx="24">
                  <c:v>23.297058540778352</c:v>
                </c:pt>
              </c:numCache>
            </c:numRef>
          </c:xVal>
          <c:yVal>
            <c:numRef>
              <c:f>DistCalculator!$E$27:$E$51</c:f>
              <c:numCache>
                <c:formatCode>0.0%</c:formatCode>
                <c:ptCount val="25"/>
                <c:pt idx="0">
                  <c:v>0</c:v>
                </c:pt>
                <c:pt idx="1">
                  <c:v>0</c:v>
                </c:pt>
                <c:pt idx="2">
                  <c:v>0</c:v>
                </c:pt>
                <c:pt idx="3">
                  <c:v>0</c:v>
                </c:pt>
                <c:pt idx="4">
                  <c:v>0</c:v>
                </c:pt>
                <c:pt idx="5">
                  <c:v>0</c:v>
                </c:pt>
                <c:pt idx="6">
                  <c:v>4.9061143884288699E-2</c:v>
                </c:pt>
                <c:pt idx="7">
                  <c:v>6.8657170213610924E-2</c:v>
                </c:pt>
                <c:pt idx="8">
                  <c:v>7.3709610614823118E-2</c:v>
                </c:pt>
                <c:pt idx="9">
                  <c:v>7.4216320197830199E-2</c:v>
                </c:pt>
                <c:pt idx="10">
                  <c:v>7.229486852368415E-2</c:v>
                </c:pt>
                <c:pt idx="11">
                  <c:v>6.8843627702764296E-2</c:v>
                </c:pt>
                <c:pt idx="12">
                  <c:v>6.4355848844021221E-2</c:v>
                </c:pt>
                <c:pt idx="13">
                  <c:v>5.9145915020795303E-2</c:v>
                </c:pt>
                <c:pt idx="14">
                  <c:v>5.3435928402381032E-2</c:v>
                </c:pt>
                <c:pt idx="15">
                  <c:v>4.7395825553637964E-2</c:v>
                </c:pt>
                <c:pt idx="16">
                  <c:v>4.116474020631463E-2</c:v>
                </c:pt>
                <c:pt idx="17">
                  <c:v>3.4863890619943209E-2</c:v>
                </c:pt>
                <c:pt idx="18">
                  <c:v>2.8605536487675005E-2</c:v>
                </c:pt>
                <c:pt idx="19">
                  <c:v>2.2500501010848325E-2</c:v>
                </c:pt>
                <c:pt idx="20">
                  <c:v>1.666627324349855E-2</c:v>
                </c:pt>
                <c:pt idx="21">
                  <c:v>1.1238573832862787E-2</c:v>
                </c:pt>
                <c:pt idx="22">
                  <c:v>6.3933258999749228E-3</c:v>
                </c:pt>
                <c:pt idx="23">
                  <c:v>2.405156665219062E-3</c:v>
                </c:pt>
                <c:pt idx="24">
                  <c:v>0</c:v>
                </c:pt>
              </c:numCache>
            </c:numRef>
          </c:yVal>
          <c:smooth val="1"/>
          <c:extLst>
            <c:ext xmlns:c16="http://schemas.microsoft.com/office/drawing/2014/chart" uri="{C3380CC4-5D6E-409C-BE32-E72D297353CC}">
              <c16:uniqueId val="{00000001-9B48-4590-8BD7-561D0ED4E678}"/>
            </c:ext>
          </c:extLst>
        </c:ser>
        <c:ser>
          <c:idx val="2"/>
          <c:order val="2"/>
          <c:tx>
            <c:strRef>
              <c:f>DistCalculator!$F$26</c:f>
              <c:strCache>
                <c:ptCount val="1"/>
                <c:pt idx="0">
                  <c:v>Exponential</c:v>
                </c:pt>
              </c:strCache>
            </c:strRef>
          </c:tx>
          <c:xVal>
            <c:numRef>
              <c:f>DistCalculator!$C$27:$C$51</c:f>
              <c:numCache>
                <c:formatCode>0.0000</c:formatCode>
                <c:ptCount val="25"/>
                <c:pt idx="0">
                  <c:v>-7.2970585407783535</c:v>
                </c:pt>
                <c:pt idx="1">
                  <c:v>-6.0223036623801569</c:v>
                </c:pt>
                <c:pt idx="2">
                  <c:v>-4.7475487839819621</c:v>
                </c:pt>
                <c:pt idx="3">
                  <c:v>-3.4727939055837656</c:v>
                </c:pt>
                <c:pt idx="4">
                  <c:v>-2.198039027185569</c:v>
                </c:pt>
                <c:pt idx="5">
                  <c:v>-0.92328414878737242</c:v>
                </c:pt>
                <c:pt idx="6">
                  <c:v>0.35147072961082326</c:v>
                </c:pt>
                <c:pt idx="7">
                  <c:v>1.6262256080090189</c:v>
                </c:pt>
                <c:pt idx="8">
                  <c:v>2.9009804864072155</c:v>
                </c:pt>
                <c:pt idx="9">
                  <c:v>4.1757353648054121</c:v>
                </c:pt>
                <c:pt idx="10">
                  <c:v>5.4504902432036078</c:v>
                </c:pt>
                <c:pt idx="11">
                  <c:v>6.7252451216018034</c:v>
                </c:pt>
                <c:pt idx="12">
                  <c:v>8</c:v>
                </c:pt>
                <c:pt idx="13">
                  <c:v>9.2747548783981966</c:v>
                </c:pt>
                <c:pt idx="14">
                  <c:v>10.549509756796393</c:v>
                </c:pt>
                <c:pt idx="15">
                  <c:v>11.824264635194588</c:v>
                </c:pt>
                <c:pt idx="16">
                  <c:v>13.099019513592784</c:v>
                </c:pt>
                <c:pt idx="17">
                  <c:v>14.373774391990981</c:v>
                </c:pt>
                <c:pt idx="18">
                  <c:v>15.648529270389176</c:v>
                </c:pt>
                <c:pt idx="19">
                  <c:v>16.923284148787374</c:v>
                </c:pt>
                <c:pt idx="20">
                  <c:v>18.198039027185569</c:v>
                </c:pt>
                <c:pt idx="21">
                  <c:v>19.472793905583764</c:v>
                </c:pt>
                <c:pt idx="22">
                  <c:v>20.747548783981962</c:v>
                </c:pt>
                <c:pt idx="23">
                  <c:v>22.022303662380157</c:v>
                </c:pt>
                <c:pt idx="24">
                  <c:v>23.297058540778352</c:v>
                </c:pt>
              </c:numCache>
            </c:numRef>
          </c:xVal>
          <c:yVal>
            <c:numRef>
              <c:f>DistCalculator!$F$27:$F$51</c:f>
              <c:numCache>
                <c:formatCode>0.0%</c:formatCode>
                <c:ptCount val="25"/>
                <c:pt idx="0">
                  <c:v>0</c:v>
                </c:pt>
                <c:pt idx="1">
                  <c:v>0</c:v>
                </c:pt>
                <c:pt idx="2">
                  <c:v>0</c:v>
                </c:pt>
                <c:pt idx="3">
                  <c:v>0</c:v>
                </c:pt>
                <c:pt idx="4">
                  <c:v>0</c:v>
                </c:pt>
                <c:pt idx="5">
                  <c:v>0</c:v>
                </c:pt>
                <c:pt idx="6">
                  <c:v>0.15174844878209037</c:v>
                </c:pt>
                <c:pt idx="7">
                  <c:v>0.12366199881475126</c:v>
                </c:pt>
                <c:pt idx="8">
                  <c:v>0.10077394578720968</c:v>
                </c:pt>
                <c:pt idx="9">
                  <c:v>8.2122141376159516E-2</c:v>
                </c:pt>
                <c:pt idx="10">
                  <c:v>6.6922517040727922E-2</c:v>
                </c:pt>
                <c:pt idx="11">
                  <c:v>5.4536124022293062E-2</c:v>
                </c:pt>
                <c:pt idx="12">
                  <c:v>4.4442273765119868E-2</c:v>
                </c:pt>
                <c:pt idx="13">
                  <c:v>3.6216649657875966E-2</c:v>
                </c:pt>
                <c:pt idx="14">
                  <c:v>2.9513469976209038E-2</c:v>
                </c:pt>
                <c:pt idx="15">
                  <c:v>2.4050952207479187E-2</c:v>
                </c:pt>
                <c:pt idx="16">
                  <c:v>1.9599467719408729E-2</c:v>
                </c:pt>
                <c:pt idx="17">
                  <c:v>1.5971888828779434E-2</c:v>
                </c:pt>
                <c:pt idx="18">
                  <c:v>1.3015722488538337E-2</c:v>
                </c:pt>
                <c:pt idx="19">
                  <c:v>1.0606699916004153E-2</c:v>
                </c:pt>
                <c:pt idx="20">
                  <c:v>8.6435526884682777E-3</c:v>
                </c:pt>
                <c:pt idx="21">
                  <c:v>7.0437557081819407E-3</c:v>
                </c:pt>
                <c:pt idx="22">
                  <c:v>5.7400580831465774E-3</c:v>
                </c:pt>
                <c:pt idx="23">
                  <c:v>4.677656091852259E-3</c:v>
                </c:pt>
                <c:pt idx="24">
                  <c:v>3.8118893914829751E-3</c:v>
                </c:pt>
              </c:numCache>
            </c:numRef>
          </c:yVal>
          <c:smooth val="1"/>
          <c:extLst>
            <c:ext xmlns:c16="http://schemas.microsoft.com/office/drawing/2014/chart" uri="{C3380CC4-5D6E-409C-BE32-E72D297353CC}">
              <c16:uniqueId val="{00000002-9B48-4590-8BD7-561D0ED4E678}"/>
            </c:ext>
          </c:extLst>
        </c:ser>
        <c:dLbls>
          <c:showLegendKey val="0"/>
          <c:showVal val="0"/>
          <c:showCatName val="0"/>
          <c:showSerName val="0"/>
          <c:showPercent val="0"/>
          <c:showBubbleSize val="0"/>
        </c:dLbls>
        <c:axId val="175082880"/>
        <c:axId val="175083456"/>
      </c:scatterChart>
      <c:valAx>
        <c:axId val="175082880"/>
        <c:scaling>
          <c:orientation val="minMax"/>
        </c:scaling>
        <c:delete val="0"/>
        <c:axPos val="b"/>
        <c:numFmt formatCode="0.0000" sourceLinked="1"/>
        <c:majorTickMark val="out"/>
        <c:minorTickMark val="none"/>
        <c:tickLblPos val="nextTo"/>
        <c:crossAx val="175083456"/>
        <c:crosses val="autoZero"/>
        <c:crossBetween val="midCat"/>
      </c:valAx>
      <c:valAx>
        <c:axId val="175083456"/>
        <c:scaling>
          <c:orientation val="minMax"/>
        </c:scaling>
        <c:delete val="0"/>
        <c:axPos val="l"/>
        <c:majorGridlines/>
        <c:numFmt formatCode="0.0%" sourceLinked="1"/>
        <c:majorTickMark val="out"/>
        <c:minorTickMark val="none"/>
        <c:tickLblPos val="nextTo"/>
        <c:crossAx val="17508288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NYSE:GE</a:t>
            </a:r>
            <a:r>
              <a:rPr lang="en-US" baseline="0"/>
              <a:t> on 5/02/2019</a:t>
            </a:r>
          </a:p>
        </c:rich>
      </c:tx>
      <c:overlay val="0"/>
    </c:title>
    <c:autoTitleDeleted val="0"/>
    <c:plotArea>
      <c:layout/>
      <c:lineChart>
        <c:grouping val="standard"/>
        <c:varyColors val="0"/>
        <c:ser>
          <c:idx val="0"/>
          <c:order val="0"/>
          <c:tx>
            <c:v>Not Remain CEO</c:v>
          </c:tx>
          <c:marker>
            <c:symbol val="none"/>
          </c:marker>
          <c:val>
            <c:numRef>
              <c:f>Futarchy!$S$26:$S$51</c:f>
              <c:numCache>
                <c:formatCode>0.00</c:formatCode>
                <c:ptCount val="26"/>
                <c:pt idx="0">
                  <c:v>26</c:v>
                </c:pt>
                <c:pt idx="1">
                  <c:v>24.311405838916222</c:v>
                </c:pt>
                <c:pt idx="2">
                  <c:v>21.945573855139656</c:v>
                </c:pt>
                <c:pt idx="3">
                  <c:v>20.30132196544497</c:v>
                </c:pt>
                <c:pt idx="4">
                  <c:v>17.431759763148605</c:v>
                </c:pt>
                <c:pt idx="5">
                  <c:v>13.907299193587061</c:v>
                </c:pt>
                <c:pt idx="6">
                  <c:v>12.101753199573846</c:v>
                </c:pt>
                <c:pt idx="7">
                  <c:v>12.74146334645283</c:v>
                </c:pt>
                <c:pt idx="8">
                  <c:v>12.912412622225437</c:v>
                </c:pt>
                <c:pt idx="9">
                  <c:v>14.580088150611456</c:v>
                </c:pt>
                <c:pt idx="10">
                  <c:v>10.38655702930264</c:v>
                </c:pt>
                <c:pt idx="11">
                  <c:v>9.8427696405719747</c:v>
                </c:pt>
                <c:pt idx="12">
                  <c:v>10.523419078520245</c:v>
                </c:pt>
                <c:pt idx="13">
                  <c:v>13.241440378799151</c:v>
                </c:pt>
                <c:pt idx="14">
                  <c:v>15.961528805145619</c:v>
                </c:pt>
                <c:pt idx="15">
                  <c:v>14.960936653733906</c:v>
                </c:pt>
                <c:pt idx="16">
                  <c:v>7.4448306021688104</c:v>
                </c:pt>
                <c:pt idx="17">
                  <c:v>3.3639745573463351</c:v>
                </c:pt>
                <c:pt idx="18">
                  <c:v>2.8934780356533736</c:v>
                </c:pt>
                <c:pt idx="19">
                  <c:v>2.5897888029732408</c:v>
                </c:pt>
                <c:pt idx="20">
                  <c:v>2.2093122926043423</c:v>
                </c:pt>
                <c:pt idx="21">
                  <c:v>2.2306154104318301</c:v>
                </c:pt>
                <c:pt idx="22">
                  <c:v>2.2020806633709573</c:v>
                </c:pt>
                <c:pt idx="23">
                  <c:v>2.1824260446751071</c:v>
                </c:pt>
                <c:pt idx="24">
                  <c:v>2.1728175826029097</c:v>
                </c:pt>
              </c:numCache>
            </c:numRef>
          </c:val>
          <c:smooth val="0"/>
          <c:extLst>
            <c:ext xmlns:c16="http://schemas.microsoft.com/office/drawing/2014/chart" uri="{C3380CC4-5D6E-409C-BE32-E72D297353CC}">
              <c16:uniqueId val="{00000000-FC96-4FB7-8139-95125D599E4A}"/>
            </c:ext>
          </c:extLst>
        </c:ser>
        <c:ser>
          <c:idx val="1"/>
          <c:order val="1"/>
          <c:tx>
            <c:v>Remain CEO</c:v>
          </c:tx>
          <c:marker>
            <c:symbol val="none"/>
          </c:marker>
          <c:val>
            <c:numRef>
              <c:f>Futarchy!$T$26:$T$51</c:f>
              <c:numCache>
                <c:formatCode>0.00</c:formatCode>
                <c:ptCount val="26"/>
                <c:pt idx="0">
                  <c:v>26</c:v>
                </c:pt>
                <c:pt idx="1">
                  <c:v>28.149499000267795</c:v>
                </c:pt>
                <c:pt idx="2">
                  <c:v>25.785579303744182</c:v>
                </c:pt>
                <c:pt idx="3">
                  <c:v>24.145297986874493</c:v>
                </c:pt>
                <c:pt idx="4">
                  <c:v>21.271585778757121</c:v>
                </c:pt>
                <c:pt idx="5">
                  <c:v>17.751657975246545</c:v>
                </c:pt>
                <c:pt idx="6">
                  <c:v>15.944140752593952</c:v>
                </c:pt>
                <c:pt idx="7">
                  <c:v>16.584171585637495</c:v>
                </c:pt>
                <c:pt idx="8">
                  <c:v>16.756044669072427</c:v>
                </c:pt>
                <c:pt idx="9">
                  <c:v>18.420508919743714</c:v>
                </c:pt>
                <c:pt idx="10">
                  <c:v>16.148501505084894</c:v>
                </c:pt>
                <c:pt idx="11">
                  <c:v>15.611249747044882</c:v>
                </c:pt>
                <c:pt idx="12">
                  <c:v>16.304220783470342</c:v>
                </c:pt>
                <c:pt idx="13">
                  <c:v>19.010211587603575</c:v>
                </c:pt>
                <c:pt idx="14">
                  <c:v>21.717254840395682</c:v>
                </c:pt>
                <c:pt idx="15">
                  <c:v>20.72028619035536</c:v>
                </c:pt>
                <c:pt idx="16">
                  <c:v>17.040853187696463</c:v>
                </c:pt>
                <c:pt idx="17">
                  <c:v>12.65963367978577</c:v>
                </c:pt>
                <c:pt idx="18">
                  <c:v>11.739760444676936</c:v>
                </c:pt>
                <c:pt idx="19">
                  <c:v>10.269827481703992</c:v>
                </c:pt>
                <c:pt idx="20">
                  <c:v>14.445832235240278</c:v>
                </c:pt>
                <c:pt idx="21">
                  <c:v>15.371701681214692</c:v>
                </c:pt>
                <c:pt idx="22">
                  <c:v>14.785348314306368</c:v>
                </c:pt>
                <c:pt idx="23">
                  <c:v>14.388619331149517</c:v>
                </c:pt>
                <c:pt idx="24">
                  <c:v>14.002083861982133</c:v>
                </c:pt>
              </c:numCache>
            </c:numRef>
          </c:val>
          <c:smooth val="0"/>
          <c:extLst>
            <c:ext xmlns:c16="http://schemas.microsoft.com/office/drawing/2014/chart" uri="{C3380CC4-5D6E-409C-BE32-E72D297353CC}">
              <c16:uniqueId val="{00000001-FC96-4FB7-8139-95125D599E4A}"/>
            </c:ext>
          </c:extLst>
        </c:ser>
        <c:dLbls>
          <c:showLegendKey val="0"/>
          <c:showVal val="0"/>
          <c:showCatName val="0"/>
          <c:showSerName val="0"/>
          <c:showPercent val="0"/>
          <c:showBubbleSize val="0"/>
        </c:dLbls>
        <c:smooth val="0"/>
        <c:axId val="115212800"/>
        <c:axId val="164222592"/>
      </c:lineChart>
      <c:catAx>
        <c:axId val="115212800"/>
        <c:scaling>
          <c:orientation val="minMax"/>
        </c:scaling>
        <c:delete val="0"/>
        <c:axPos val="b"/>
        <c:majorTickMark val="out"/>
        <c:minorTickMark val="none"/>
        <c:tickLblPos val="nextTo"/>
        <c:crossAx val="164222592"/>
        <c:crosses val="autoZero"/>
        <c:auto val="1"/>
        <c:lblAlgn val="ctr"/>
        <c:lblOffset val="100"/>
        <c:noMultiLvlLbl val="0"/>
      </c:catAx>
      <c:valAx>
        <c:axId val="164222592"/>
        <c:scaling>
          <c:orientation val="minMax"/>
          <c:max val="50"/>
          <c:min val="2"/>
        </c:scaling>
        <c:delete val="0"/>
        <c:axPos val="l"/>
        <c:majorGridlines/>
        <c:numFmt formatCode="0.00" sourceLinked="1"/>
        <c:majorTickMark val="out"/>
        <c:minorTickMark val="none"/>
        <c:tickLblPos val="nextTo"/>
        <c:crossAx val="115212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Both Dimensions at Once!</a:t>
            </a:r>
          </a:p>
        </c:rich>
      </c:tx>
      <c:layout>
        <c:manualLayout>
          <c:xMode val="edge"/>
          <c:yMode val="edge"/>
          <c:x val="0.33816875744875086"/>
          <c:y val="1.3188237338426785E-2"/>
        </c:manualLayout>
      </c:layout>
      <c:overlay val="0"/>
      <c:spPr>
        <a:solidFill>
          <a:schemeClr val="bg1">
            <a:lumMod val="95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165702882337014E-2"/>
          <c:y val="4.2262479091616283E-2"/>
          <c:w val="0.86506496135806454"/>
          <c:h val="0.85575602378464277"/>
        </c:manualLayout>
      </c:layout>
      <c:scatterChart>
        <c:scatterStyle val="lineMarker"/>
        <c:varyColors val="0"/>
        <c:ser>
          <c:idx val="4"/>
          <c:order val="0"/>
          <c:tx>
            <c:strRef>
              <c:f>Futarchy!$AE$23</c:f>
              <c:strCache>
                <c:ptCount val="1"/>
                <c:pt idx="0">
                  <c:v>Leave &amp; Min</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Futarchy!$I$26:$I$50</c:f>
              <c:numCache>
                <c:formatCode>0.0%</c:formatCode>
                <c:ptCount val="25"/>
                <c:pt idx="0">
                  <c:v>0.25</c:v>
                </c:pt>
                <c:pt idx="1">
                  <c:v>0.24334894653594114</c:v>
                </c:pt>
                <c:pt idx="2">
                  <c:v>0.22793994792762146</c:v>
                </c:pt>
                <c:pt idx="3">
                  <c:v>0.17292487697672193</c:v>
                </c:pt>
                <c:pt idx="4">
                  <c:v>0.25207297977239274</c:v>
                </c:pt>
                <c:pt idx="5">
                  <c:v>1.8229417238400471E-2</c:v>
                </c:pt>
                <c:pt idx="6">
                  <c:v>1.035637477435211E-2</c:v>
                </c:pt>
                <c:pt idx="7">
                  <c:v>1.1116830833350546E-2</c:v>
                </c:pt>
                <c:pt idx="8">
                  <c:v>1.2522486591187227E-2</c:v>
                </c:pt>
                <c:pt idx="9">
                  <c:v>0.17706817876115152</c:v>
                </c:pt>
                <c:pt idx="10">
                  <c:v>0.5941774266214459</c:v>
                </c:pt>
                <c:pt idx="11">
                  <c:v>0.59397020231267139</c:v>
                </c:pt>
                <c:pt idx="12">
                  <c:v>0.56708950789553991</c:v>
                </c:pt>
                <c:pt idx="13">
                  <c:v>0.55870158837779915</c:v>
                </c:pt>
                <c:pt idx="14">
                  <c:v>0.54594078051628248</c:v>
                </c:pt>
                <c:pt idx="15">
                  <c:v>0.5475589142001337</c:v>
                </c:pt>
                <c:pt idx="16">
                  <c:v>0.4257361743896183</c:v>
                </c:pt>
                <c:pt idx="17">
                  <c:v>0.2158817845739576</c:v>
                </c:pt>
                <c:pt idx="18">
                  <c:v>0.18148879577867977</c:v>
                </c:pt>
                <c:pt idx="19">
                  <c:v>9.9591887646672345E-2</c:v>
                </c:pt>
                <c:pt idx="20">
                  <c:v>6.6295226877183297E-2</c:v>
                </c:pt>
                <c:pt idx="21">
                  <c:v>0.11659892447423695</c:v>
                </c:pt>
                <c:pt idx="22">
                  <c:v>9.980454318987296E-2</c:v>
                </c:pt>
                <c:pt idx="23">
                  <c:v>0.11126892865953956</c:v>
                </c:pt>
                <c:pt idx="24">
                  <c:v>0.10802417502524053</c:v>
                </c:pt>
              </c:numCache>
            </c:numRef>
          </c:yVal>
          <c:smooth val="0"/>
          <c:extLst>
            <c:ext xmlns:c16="http://schemas.microsoft.com/office/drawing/2014/chart" uri="{C3380CC4-5D6E-409C-BE32-E72D297353CC}">
              <c16:uniqueId val="{00000000-D76B-45E5-B0DA-968B5305131F}"/>
            </c:ext>
          </c:extLst>
        </c:ser>
        <c:ser>
          <c:idx val="5"/>
          <c:order val="1"/>
          <c:tx>
            <c:strRef>
              <c:f>Futarchy!$AF$23</c:f>
              <c:strCache>
                <c:ptCount val="1"/>
                <c:pt idx="0">
                  <c:v>Stay &amp; Min</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Futarchy!$J$26:$J$50</c:f>
              <c:numCache>
                <c:formatCode>0.0%</c:formatCode>
                <c:ptCount val="25"/>
                <c:pt idx="0">
                  <c:v>0.25</c:v>
                </c:pt>
                <c:pt idx="1">
                  <c:v>0.2482282143876261</c:v>
                </c:pt>
                <c:pt idx="2">
                  <c:v>0.30772688422309236</c:v>
                </c:pt>
                <c:pt idx="3">
                  <c:v>0.38809685836350272</c:v>
                </c:pt>
                <c:pt idx="4">
                  <c:v>0.376155290152763</c:v>
                </c:pt>
                <c:pt idx="5">
                  <c:v>0.65555272008520193</c:v>
                </c:pt>
                <c:pt idx="6">
                  <c:v>0.70019069410392676</c:v>
                </c:pt>
                <c:pt idx="7">
                  <c:v>0.68619281011899036</c:v>
                </c:pt>
                <c:pt idx="8">
                  <c:v>0.68135770426913678</c:v>
                </c:pt>
                <c:pt idx="9">
                  <c:v>0.50003658681243601</c:v>
                </c:pt>
                <c:pt idx="10">
                  <c:v>0.1974877698900174</c:v>
                </c:pt>
                <c:pt idx="11">
                  <c:v>0.20778434581530103</c:v>
                </c:pt>
                <c:pt idx="12">
                  <c:v>0.21794834236672639</c:v>
                </c:pt>
                <c:pt idx="13">
                  <c:v>0.17459985041818382</c:v>
                </c:pt>
                <c:pt idx="14">
                  <c:v>0.13559878487358118</c:v>
                </c:pt>
                <c:pt idx="15">
                  <c:v>0.15243704928308308</c:v>
                </c:pt>
                <c:pt idx="16">
                  <c:v>0.35691454299261055</c:v>
                </c:pt>
                <c:pt idx="17">
                  <c:v>0.6050728419510264</c:v>
                </c:pt>
                <c:pt idx="18">
                  <c:v>0.64968188195586607</c:v>
                </c:pt>
                <c:pt idx="19">
                  <c:v>0.74425305272586184</c:v>
                </c:pt>
                <c:pt idx="20">
                  <c:v>0.69139109815077826</c:v>
                </c:pt>
                <c:pt idx="21">
                  <c:v>0.63689965876473331</c:v>
                </c:pt>
                <c:pt idx="22">
                  <c:v>0.66010855133943136</c:v>
                </c:pt>
                <c:pt idx="23">
                  <c:v>0.65903799205703983</c:v>
                </c:pt>
                <c:pt idx="24">
                  <c:v>0.6686504126712346</c:v>
                </c:pt>
              </c:numCache>
            </c:numRef>
          </c:yVal>
          <c:smooth val="0"/>
          <c:extLst>
            <c:ext xmlns:c16="http://schemas.microsoft.com/office/drawing/2014/chart" uri="{C3380CC4-5D6E-409C-BE32-E72D297353CC}">
              <c16:uniqueId val="{00000001-D76B-45E5-B0DA-968B5305131F}"/>
            </c:ext>
          </c:extLst>
        </c:ser>
        <c:ser>
          <c:idx val="6"/>
          <c:order val="2"/>
          <c:tx>
            <c:strRef>
              <c:f>Futarchy!$AG$23</c:f>
              <c:strCache>
                <c:ptCount val="1"/>
                <c:pt idx="0">
                  <c:v>Leave &amp; Max</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Futarchy!$K$26:$K$50</c:f>
              <c:numCache>
                <c:formatCode>0.0%</c:formatCode>
                <c:ptCount val="25"/>
                <c:pt idx="0">
                  <c:v>0.25</c:v>
                </c:pt>
                <c:pt idx="1">
                  <c:v>0.21135672402273042</c:v>
                </c:pt>
                <c:pt idx="2">
                  <c:v>0.16205617760461571</c:v>
                </c:pt>
                <c:pt idx="3">
                  <c:v>0.10656211181196996</c:v>
                </c:pt>
                <c:pt idx="4">
                  <c:v>0.11943935681937996</c:v>
                </c:pt>
                <c:pt idx="5">
                  <c:v>6.0140449545909372E-3</c:v>
                </c:pt>
                <c:pt idx="6">
                  <c:v>2.760485005116936E-3</c:v>
                </c:pt>
                <c:pt idx="7">
                  <c:v>3.2049307796360575E-3</c:v>
                </c:pt>
                <c:pt idx="8">
                  <c:v>3.6845357274765921E-3</c:v>
                </c:pt>
                <c:pt idx="9">
                  <c:v>6.2889295347638402E-2</c:v>
                </c:pt>
                <c:pt idx="10">
                  <c:v>0.12579322826271661</c:v>
                </c:pt>
                <c:pt idx="11">
                  <c:v>0.11600330571624022</c:v>
                </c:pt>
                <c:pt idx="12">
                  <c:v>0.12244073367041533</c:v>
                </c:pt>
                <c:pt idx="13">
                  <c:v>0.17086117247279226</c:v>
                </c:pt>
                <c:pt idx="14">
                  <c:v>0.22392803394278199</c:v>
                </c:pt>
                <c:pt idx="15">
                  <c:v>0.20254184111606752</c:v>
                </c:pt>
                <c:pt idx="16">
                  <c:v>5.4471909842403549E-2</c:v>
                </c:pt>
                <c:pt idx="17">
                  <c:v>6.3139441828181141E-3</c:v>
                </c:pt>
                <c:pt idx="18">
                  <c:v>3.4423312523085836E-3</c:v>
                </c:pt>
                <c:pt idx="19">
                  <c:v>1.2389352149660962E-3</c:v>
                </c:pt>
                <c:pt idx="20">
                  <c:v>2.9035794612013632E-4</c:v>
                </c:pt>
                <c:pt idx="21">
                  <c:v>5.6290255892072405E-4</c:v>
                </c:pt>
                <c:pt idx="22">
                  <c:v>4.2195494228948764E-4</c:v>
                </c:pt>
                <c:pt idx="23">
                  <c:v>4.2449561681152752E-4</c:v>
                </c:pt>
                <c:pt idx="24">
                  <c:v>3.9033193775899795E-4</c:v>
                </c:pt>
              </c:numCache>
            </c:numRef>
          </c:yVal>
          <c:smooth val="0"/>
          <c:extLst>
            <c:ext xmlns:c16="http://schemas.microsoft.com/office/drawing/2014/chart" uri="{C3380CC4-5D6E-409C-BE32-E72D297353CC}">
              <c16:uniqueId val="{00000002-D76B-45E5-B0DA-968B5305131F}"/>
            </c:ext>
          </c:extLst>
        </c:ser>
        <c:ser>
          <c:idx val="7"/>
          <c:order val="3"/>
          <c:tx>
            <c:strRef>
              <c:f>Futarchy!$AH$23</c:f>
              <c:strCache>
                <c:ptCount val="1"/>
                <c:pt idx="0">
                  <c:v>Stay &amp; Max</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Futarchy!$L$26:$L$50</c:f>
              <c:numCache>
                <c:formatCode>0.0%</c:formatCode>
                <c:ptCount val="25"/>
                <c:pt idx="0">
                  <c:v>0.25</c:v>
                </c:pt>
                <c:pt idx="1">
                  <c:v>0.2970661150537024</c:v>
                </c:pt>
                <c:pt idx="2">
                  <c:v>0.30227699024467053</c:v>
                </c:pt>
                <c:pt idx="3">
                  <c:v>0.3324161528478054</c:v>
                </c:pt>
                <c:pt idx="4">
                  <c:v>0.25233237325546426</c:v>
                </c:pt>
                <c:pt idx="5">
                  <c:v>0.32020381772180678</c:v>
                </c:pt>
                <c:pt idx="6">
                  <c:v>0.2866924461166041</c:v>
                </c:pt>
                <c:pt idx="7">
                  <c:v>0.29948542826802294</c:v>
                </c:pt>
                <c:pt idx="8">
                  <c:v>0.30243527341219939</c:v>
                </c:pt>
                <c:pt idx="9">
                  <c:v>0.26000593907877412</c:v>
                </c:pt>
                <c:pt idx="10">
                  <c:v>8.2541575225820091E-2</c:v>
                </c:pt>
                <c:pt idx="11">
                  <c:v>8.2242146155787302E-2</c:v>
                </c:pt>
                <c:pt idx="12">
                  <c:v>9.2521416067318299E-2</c:v>
                </c:pt>
                <c:pt idx="13">
                  <c:v>9.5837388731224771E-2</c:v>
                </c:pt>
                <c:pt idx="14">
                  <c:v>9.4532400667354327E-2</c:v>
                </c:pt>
                <c:pt idx="15">
                  <c:v>9.7462195400715684E-2</c:v>
                </c:pt>
                <c:pt idx="16">
                  <c:v>0.1628773727753676</c:v>
                </c:pt>
                <c:pt idx="17">
                  <c:v>0.17273142929219792</c:v>
                </c:pt>
                <c:pt idx="18">
                  <c:v>0.16538699101314563</c:v>
                </c:pt>
                <c:pt idx="19">
                  <c:v>0.15491612441249972</c:v>
                </c:pt>
                <c:pt idx="20">
                  <c:v>0.24202331702591839</c:v>
                </c:pt>
                <c:pt idx="21">
                  <c:v>0.24593851420210899</c:v>
                </c:pt>
                <c:pt idx="22">
                  <c:v>0.23966495052840611</c:v>
                </c:pt>
                <c:pt idx="23">
                  <c:v>0.22926858366660893</c:v>
                </c:pt>
                <c:pt idx="24">
                  <c:v>0.22293508036576601</c:v>
                </c:pt>
              </c:numCache>
            </c:numRef>
          </c:yVal>
          <c:smooth val="0"/>
          <c:extLst>
            <c:ext xmlns:c16="http://schemas.microsoft.com/office/drawing/2014/chart" uri="{C3380CC4-5D6E-409C-BE32-E72D297353CC}">
              <c16:uniqueId val="{00000003-D76B-45E5-B0DA-968B5305131F}"/>
            </c:ext>
          </c:extLst>
        </c:ser>
        <c:dLbls>
          <c:showLegendKey val="0"/>
          <c:showVal val="0"/>
          <c:showCatName val="0"/>
          <c:showSerName val="0"/>
          <c:showPercent val="0"/>
          <c:showBubbleSize val="0"/>
        </c:dLbls>
        <c:axId val="515733976"/>
        <c:axId val="515729056"/>
      </c:scatterChart>
      <c:valAx>
        <c:axId val="515733976"/>
        <c:scaling>
          <c:orientation val="minMax"/>
          <c:max val="26"/>
          <c:min val="0"/>
        </c:scaling>
        <c:delete val="0"/>
        <c:axPos val="b"/>
        <c:majorGridlines>
          <c:spPr>
            <a:ln w="9525" cap="flat" cmpd="sng" algn="ctr">
              <a:solidFill>
                <a:schemeClr val="tx1">
                  <a:lumMod val="15000"/>
                  <a:lumOff val="85000"/>
                </a:schemeClr>
              </a:solidFill>
              <a:round/>
            </a:ln>
            <a:effectLst/>
          </c:spPr>
        </c:majorGridlines>
        <c:numFmt formatCode="d\-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29056"/>
        <c:crosses val="autoZero"/>
        <c:crossBetween val="midCat"/>
        <c:majorUnit val="2"/>
      </c:valAx>
      <c:valAx>
        <c:axId val="515729056"/>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0%" sourceLinked="1"/>
        <c:majorTickMark val="in"/>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33976"/>
        <c:crosses val="autoZero"/>
        <c:crossBetween val="midCat"/>
        <c:minorUnit val="5.000000000000001E-2"/>
      </c:valAx>
      <c:spPr>
        <a:noFill/>
        <a:ln>
          <a:noFill/>
        </a:ln>
        <a:effectLst/>
      </c:spPr>
    </c:plotArea>
    <c:legend>
      <c:legendPos val="r"/>
      <c:layout>
        <c:manualLayout>
          <c:xMode val="edge"/>
          <c:yMode val="edge"/>
          <c:x val="0.11786803160625764"/>
          <c:y val="6.5803264088423977E-2"/>
          <c:w val="0.18443865429638326"/>
          <c:h val="0.29494900144677971"/>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Dimension 2 -- GE</a:t>
            </a:r>
            <a:r>
              <a:rPr lang="en-US" sz="1800" b="1" baseline="0"/>
              <a:t> Stock Price on 5/2/2019 </a:t>
            </a:r>
            <a:endParaRPr lang="en-US" sz="1800" b="1"/>
          </a:p>
        </c:rich>
      </c:tx>
      <c:layout>
        <c:manualLayout>
          <c:xMode val="edge"/>
          <c:yMode val="edge"/>
          <c:x val="0.12052766290735475"/>
          <c:y val="3.9941245316513364E-2"/>
        </c:manualLayout>
      </c:layout>
      <c:overlay val="0"/>
      <c:spPr>
        <a:solidFill>
          <a:schemeClr val="bg1">
            <a:lumMod val="95000"/>
          </a:schemeClr>
        </a:solidFill>
        <a:ln>
          <a:noFill/>
        </a:ln>
        <a:effectLst/>
      </c:spPr>
    </c:title>
    <c:autoTitleDeleted val="0"/>
    <c:plotArea>
      <c:layout>
        <c:manualLayout>
          <c:layoutTarget val="inner"/>
          <c:xMode val="edge"/>
          <c:yMode val="edge"/>
          <c:x val="9.5165702882337014E-2"/>
          <c:y val="5.1589028594338102E-2"/>
          <c:w val="0.86506496135806454"/>
          <c:h val="0.84642940039194892"/>
        </c:manualLayout>
      </c:layout>
      <c:scatterChart>
        <c:scatterStyle val="lineMarker"/>
        <c:varyColors val="0"/>
        <c:ser>
          <c:idx val="0"/>
          <c:order val="0"/>
          <c:tx>
            <c:strRef>
              <c:f>Futarchy!$AG$25</c:f>
              <c:strCache>
                <c:ptCount val="1"/>
                <c:pt idx="0">
                  <c:v>Min ($2/share)</c:v>
                </c:pt>
              </c:strCache>
            </c:strRef>
          </c:tx>
          <c:spPr>
            <a:ln w="6350">
              <a:solidFill>
                <a:schemeClr val="accent6">
                  <a:lumMod val="75000"/>
                </a:schemeClr>
              </a:solidFill>
            </a:ln>
          </c:spPr>
          <c:marker>
            <c:spPr>
              <a:solidFill>
                <a:schemeClr val="accent6">
                  <a:lumMod val="40000"/>
                  <a:lumOff val="60000"/>
                </a:schemeClr>
              </a:solidFill>
              <a:ln w="6350">
                <a:solidFill>
                  <a:schemeClr val="accent6">
                    <a:lumMod val="75000"/>
                  </a:schemeClr>
                </a:solidFill>
              </a:ln>
            </c:spPr>
          </c:marker>
          <c:xVal>
            <c:strRef>
              <c:f>Futarchy!$D$26:$D$51</c:f>
              <c:strCache>
                <c:ptCount val="26"/>
                <c:pt idx="0">
                  <c:v>1-Jan-18</c:v>
                </c:pt>
                <c:pt idx="1">
                  <c:v>2-Jan-18</c:v>
                </c:pt>
                <c:pt idx="2">
                  <c:v>3-Jan-18</c:v>
                </c:pt>
                <c:pt idx="3">
                  <c:v>4-Jan-18</c:v>
                </c:pt>
                <c:pt idx="4">
                  <c:v>5-Jan-18</c:v>
                </c:pt>
                <c:pt idx="5">
                  <c:v>6-Jan-18</c:v>
                </c:pt>
                <c:pt idx="6">
                  <c:v>7-Jan-18</c:v>
                </c:pt>
                <c:pt idx="7">
                  <c:v>8-Jan-18</c:v>
                </c:pt>
                <c:pt idx="8">
                  <c:v>9-Jan-18</c:v>
                </c:pt>
                <c:pt idx="9">
                  <c:v>10-Jan-18</c:v>
                </c:pt>
                <c:pt idx="10">
                  <c:v>11-Jan-18</c:v>
                </c:pt>
                <c:pt idx="11">
                  <c:v>12-Jan-18</c:v>
                </c:pt>
                <c:pt idx="12">
                  <c:v>13-Jan-18</c:v>
                </c:pt>
                <c:pt idx="13">
                  <c:v>14-Jan-18</c:v>
                </c:pt>
                <c:pt idx="14">
                  <c:v>15-Jan-18</c:v>
                </c:pt>
                <c:pt idx="15">
                  <c:v>16-Jan-18</c:v>
                </c:pt>
                <c:pt idx="16">
                  <c:v>17-Jan-18</c:v>
                </c:pt>
                <c:pt idx="17">
                  <c:v>18-Jan-18</c:v>
                </c:pt>
                <c:pt idx="18">
                  <c:v>19-Jan-18</c:v>
                </c:pt>
                <c:pt idx="19">
                  <c:v>20-Jan-18</c:v>
                </c:pt>
                <c:pt idx="20">
                  <c:v>21-Jan-18</c:v>
                </c:pt>
                <c:pt idx="21">
                  <c:v>22-Jan-18</c:v>
                </c:pt>
                <c:pt idx="22">
                  <c:v>23-Jan-18</c:v>
                </c:pt>
                <c:pt idx="23">
                  <c:v>24-Jan-18</c:v>
                </c:pt>
                <c:pt idx="24">
                  <c:v>25-Jan-18</c:v>
                </c:pt>
                <c:pt idx="25">
                  <c:v>End</c:v>
                </c:pt>
              </c:strCache>
            </c:strRef>
          </c:xVal>
          <c:yVal>
            <c:numRef>
              <c:f>Futarchy!$AG$26:$AG$50</c:f>
            </c:numRef>
          </c:yVal>
          <c:smooth val="0"/>
          <c:extLst>
            <c:ext xmlns:c16="http://schemas.microsoft.com/office/drawing/2014/chart" uri="{C3380CC4-5D6E-409C-BE32-E72D297353CC}">
              <c16:uniqueId val="{00000008-BCAE-4207-8C83-86F4B34B6428}"/>
            </c:ext>
          </c:extLst>
        </c:ser>
        <c:ser>
          <c:idx val="1"/>
          <c:order val="1"/>
          <c:tx>
            <c:strRef>
              <c:f>Futarchy!$AH$25</c:f>
              <c:strCache>
                <c:ptCount val="1"/>
                <c:pt idx="0">
                  <c:v>Max ($50/share)</c:v>
                </c:pt>
              </c:strCache>
            </c:strRef>
          </c:tx>
          <c:spPr>
            <a:ln w="28575">
              <a:solidFill>
                <a:srgbClr val="0070C0"/>
              </a:solidFill>
            </a:ln>
          </c:spPr>
          <c:marker>
            <c:spPr>
              <a:solidFill>
                <a:srgbClr val="00B0F0"/>
              </a:solidFill>
              <a:ln w="28575">
                <a:solidFill>
                  <a:srgbClr val="0070C0"/>
                </a:solidFill>
              </a:ln>
            </c:spPr>
          </c:marker>
          <c:xVal>
            <c:strRef>
              <c:f>Futarchy!$D$26:$D$51</c:f>
              <c:strCache>
                <c:ptCount val="26"/>
                <c:pt idx="0">
                  <c:v>1-Jan-18</c:v>
                </c:pt>
                <c:pt idx="1">
                  <c:v>2-Jan-18</c:v>
                </c:pt>
                <c:pt idx="2">
                  <c:v>3-Jan-18</c:v>
                </c:pt>
                <c:pt idx="3">
                  <c:v>4-Jan-18</c:v>
                </c:pt>
                <c:pt idx="4">
                  <c:v>5-Jan-18</c:v>
                </c:pt>
                <c:pt idx="5">
                  <c:v>6-Jan-18</c:v>
                </c:pt>
                <c:pt idx="6">
                  <c:v>7-Jan-18</c:v>
                </c:pt>
                <c:pt idx="7">
                  <c:v>8-Jan-18</c:v>
                </c:pt>
                <c:pt idx="8">
                  <c:v>9-Jan-18</c:v>
                </c:pt>
                <c:pt idx="9">
                  <c:v>10-Jan-18</c:v>
                </c:pt>
                <c:pt idx="10">
                  <c:v>11-Jan-18</c:v>
                </c:pt>
                <c:pt idx="11">
                  <c:v>12-Jan-18</c:v>
                </c:pt>
                <c:pt idx="12">
                  <c:v>13-Jan-18</c:v>
                </c:pt>
                <c:pt idx="13">
                  <c:v>14-Jan-18</c:v>
                </c:pt>
                <c:pt idx="14">
                  <c:v>15-Jan-18</c:v>
                </c:pt>
                <c:pt idx="15">
                  <c:v>16-Jan-18</c:v>
                </c:pt>
                <c:pt idx="16">
                  <c:v>17-Jan-18</c:v>
                </c:pt>
                <c:pt idx="17">
                  <c:v>18-Jan-18</c:v>
                </c:pt>
                <c:pt idx="18">
                  <c:v>19-Jan-18</c:v>
                </c:pt>
                <c:pt idx="19">
                  <c:v>20-Jan-18</c:v>
                </c:pt>
                <c:pt idx="20">
                  <c:v>21-Jan-18</c:v>
                </c:pt>
                <c:pt idx="21">
                  <c:v>22-Jan-18</c:v>
                </c:pt>
                <c:pt idx="22">
                  <c:v>23-Jan-18</c:v>
                </c:pt>
                <c:pt idx="23">
                  <c:v>24-Jan-18</c:v>
                </c:pt>
                <c:pt idx="24">
                  <c:v>25-Jan-18</c:v>
                </c:pt>
                <c:pt idx="25">
                  <c:v>End</c:v>
                </c:pt>
              </c:strCache>
            </c:strRef>
          </c:xVal>
          <c:yVal>
            <c:numRef>
              <c:f>Futarchy!$AH$26:$AH$50</c:f>
            </c:numRef>
          </c:yVal>
          <c:smooth val="0"/>
          <c:extLst>
            <c:ext xmlns:c16="http://schemas.microsoft.com/office/drawing/2014/chart" uri="{C3380CC4-5D6E-409C-BE32-E72D297353CC}">
              <c16:uniqueId val="{00000009-BCAE-4207-8C83-86F4B34B6428}"/>
            </c:ext>
          </c:extLst>
        </c:ser>
        <c:dLbls>
          <c:showLegendKey val="0"/>
          <c:showVal val="0"/>
          <c:showCatName val="0"/>
          <c:showSerName val="0"/>
          <c:showPercent val="0"/>
          <c:showBubbleSize val="0"/>
        </c:dLbls>
        <c:axId val="515733976"/>
        <c:axId val="515729056"/>
        <c:extLst>
          <c:ext xmlns:c15="http://schemas.microsoft.com/office/drawing/2012/chart" uri="{02D57815-91ED-43cb-92C2-25804820EDAC}">
            <c15:filteredScatterSeries>
              <c15:ser>
                <c:idx val="4"/>
                <c:order val="2"/>
                <c:tx>
                  <c:strRef>
                    <c:extLst>
                      <c:ext uri="{02D57815-91ED-43cb-92C2-25804820EDAC}">
                        <c15:formulaRef>
                          <c15:sqref>Futarchy!$AH$25</c15:sqref>
                        </c15:formulaRef>
                      </c:ext>
                    </c:extLst>
                    <c:strCache>
                      <c:ptCount val="1"/>
                      <c:pt idx="0">
                        <c:v>Max ($50/share)</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strRef>
                    <c:extLst>
                      <c:ext uri="{02D57815-91ED-43cb-92C2-25804820EDAC}">
                        <c15:formulaRef>
                          <c15:sqref>Futarchy!$D$26:$D$51</c15:sqref>
                        </c15:formulaRef>
                      </c:ext>
                    </c:extLst>
                    <c:strCache>
                      <c:ptCount val="26"/>
                      <c:pt idx="0">
                        <c:v>1-Jan-18</c:v>
                      </c:pt>
                      <c:pt idx="1">
                        <c:v>2-Jan-18</c:v>
                      </c:pt>
                      <c:pt idx="2">
                        <c:v>3-Jan-18</c:v>
                      </c:pt>
                      <c:pt idx="3">
                        <c:v>4-Jan-18</c:v>
                      </c:pt>
                      <c:pt idx="4">
                        <c:v>5-Jan-18</c:v>
                      </c:pt>
                      <c:pt idx="5">
                        <c:v>6-Jan-18</c:v>
                      </c:pt>
                      <c:pt idx="6">
                        <c:v>7-Jan-18</c:v>
                      </c:pt>
                      <c:pt idx="7">
                        <c:v>8-Jan-18</c:v>
                      </c:pt>
                      <c:pt idx="8">
                        <c:v>9-Jan-18</c:v>
                      </c:pt>
                      <c:pt idx="9">
                        <c:v>10-Jan-18</c:v>
                      </c:pt>
                      <c:pt idx="10">
                        <c:v>11-Jan-18</c:v>
                      </c:pt>
                      <c:pt idx="11">
                        <c:v>12-Jan-18</c:v>
                      </c:pt>
                      <c:pt idx="12">
                        <c:v>13-Jan-18</c:v>
                      </c:pt>
                      <c:pt idx="13">
                        <c:v>14-Jan-18</c:v>
                      </c:pt>
                      <c:pt idx="14">
                        <c:v>15-Jan-18</c:v>
                      </c:pt>
                      <c:pt idx="15">
                        <c:v>16-Jan-18</c:v>
                      </c:pt>
                      <c:pt idx="16">
                        <c:v>17-Jan-18</c:v>
                      </c:pt>
                      <c:pt idx="17">
                        <c:v>18-Jan-18</c:v>
                      </c:pt>
                      <c:pt idx="18">
                        <c:v>19-Jan-18</c:v>
                      </c:pt>
                      <c:pt idx="19">
                        <c:v>20-Jan-18</c:v>
                      </c:pt>
                      <c:pt idx="20">
                        <c:v>21-Jan-18</c:v>
                      </c:pt>
                      <c:pt idx="21">
                        <c:v>22-Jan-18</c:v>
                      </c:pt>
                      <c:pt idx="22">
                        <c:v>23-Jan-18</c:v>
                      </c:pt>
                      <c:pt idx="23">
                        <c:v>24-Jan-18</c:v>
                      </c:pt>
                      <c:pt idx="24">
                        <c:v>25-Jan-18</c:v>
                      </c:pt>
                      <c:pt idx="25">
                        <c:v>End</c:v>
                      </c:pt>
                    </c:strCache>
                  </c:strRef>
                </c:xVal>
                <c:yVal>
                  <c:numRef>
                    <c:extLst>
                      <c:ext uri="{02D57815-91ED-43cb-92C2-25804820EDAC}">
                        <c15:formulaRef>
                          <c15:sqref>Futarchy!$AG$26:$AG$51</c15:sqref>
                        </c15:formulaRef>
                      </c:ext>
                    </c:extLst>
                  </c:numRef>
                </c:yVal>
                <c:smooth val="0"/>
                <c:extLst>
                  <c:ext xmlns:c16="http://schemas.microsoft.com/office/drawing/2014/chart" uri="{C3380CC4-5D6E-409C-BE32-E72D297353CC}">
                    <c16:uniqueId val="{00000005-BCAE-4207-8C83-86F4B34B6428}"/>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Futarchy!$AH$24</c15:sqref>
                        </c15:formulaRef>
                      </c:ext>
                    </c:extLst>
                    <c:strCache>
                      <c:ptCount val="1"/>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strRef>
                    <c:extLst xmlns:c15="http://schemas.microsoft.com/office/drawing/2012/chart">
                      <c:ext xmlns:c15="http://schemas.microsoft.com/office/drawing/2012/chart" uri="{02D57815-91ED-43cb-92C2-25804820EDAC}">
                        <c15:formulaRef>
                          <c15:sqref>Futarchy!$D$26:$D$51</c15:sqref>
                        </c15:formulaRef>
                      </c:ext>
                    </c:extLst>
                    <c:strCache>
                      <c:ptCount val="26"/>
                      <c:pt idx="0">
                        <c:v>1-Jan-18</c:v>
                      </c:pt>
                      <c:pt idx="1">
                        <c:v>2-Jan-18</c:v>
                      </c:pt>
                      <c:pt idx="2">
                        <c:v>3-Jan-18</c:v>
                      </c:pt>
                      <c:pt idx="3">
                        <c:v>4-Jan-18</c:v>
                      </c:pt>
                      <c:pt idx="4">
                        <c:v>5-Jan-18</c:v>
                      </c:pt>
                      <c:pt idx="5">
                        <c:v>6-Jan-18</c:v>
                      </c:pt>
                      <c:pt idx="6">
                        <c:v>7-Jan-18</c:v>
                      </c:pt>
                      <c:pt idx="7">
                        <c:v>8-Jan-18</c:v>
                      </c:pt>
                      <c:pt idx="8">
                        <c:v>9-Jan-18</c:v>
                      </c:pt>
                      <c:pt idx="9">
                        <c:v>10-Jan-18</c:v>
                      </c:pt>
                      <c:pt idx="10">
                        <c:v>11-Jan-18</c:v>
                      </c:pt>
                      <c:pt idx="11">
                        <c:v>12-Jan-18</c:v>
                      </c:pt>
                      <c:pt idx="12">
                        <c:v>13-Jan-18</c:v>
                      </c:pt>
                      <c:pt idx="13">
                        <c:v>14-Jan-18</c:v>
                      </c:pt>
                      <c:pt idx="14">
                        <c:v>15-Jan-18</c:v>
                      </c:pt>
                      <c:pt idx="15">
                        <c:v>16-Jan-18</c:v>
                      </c:pt>
                      <c:pt idx="16">
                        <c:v>17-Jan-18</c:v>
                      </c:pt>
                      <c:pt idx="17">
                        <c:v>18-Jan-18</c:v>
                      </c:pt>
                      <c:pt idx="18">
                        <c:v>19-Jan-18</c:v>
                      </c:pt>
                      <c:pt idx="19">
                        <c:v>20-Jan-18</c:v>
                      </c:pt>
                      <c:pt idx="20">
                        <c:v>21-Jan-18</c:v>
                      </c:pt>
                      <c:pt idx="21">
                        <c:v>22-Jan-18</c:v>
                      </c:pt>
                      <c:pt idx="22">
                        <c:v>23-Jan-18</c:v>
                      </c:pt>
                      <c:pt idx="23">
                        <c:v>24-Jan-18</c:v>
                      </c:pt>
                      <c:pt idx="24">
                        <c:v>25-Jan-18</c:v>
                      </c:pt>
                      <c:pt idx="25">
                        <c:v>End</c:v>
                      </c:pt>
                    </c:strCache>
                  </c:strRef>
                </c:xVal>
                <c:yVal>
                  <c:numRef>
                    <c:extLst xmlns:c15="http://schemas.microsoft.com/office/drawing/2012/chart">
                      <c:ext xmlns:c15="http://schemas.microsoft.com/office/drawing/2012/chart" uri="{02D57815-91ED-43cb-92C2-25804820EDAC}">
                        <c15:formulaRef>
                          <c15:sqref>Futarchy!$AH$26:$AH$51</c15:sqref>
                        </c15:formulaRef>
                      </c:ext>
                    </c:extLst>
                  </c:numRef>
                </c:yVal>
                <c:smooth val="0"/>
                <c:extLst xmlns:c15="http://schemas.microsoft.com/office/drawing/2012/chart">
                  <c:ext xmlns:c16="http://schemas.microsoft.com/office/drawing/2014/chart" uri="{C3380CC4-5D6E-409C-BE32-E72D297353CC}">
                    <c16:uniqueId val="{00000007-BCAE-4207-8C83-86F4B34B6428}"/>
                  </c:ext>
                </c:extLst>
              </c15:ser>
            </c15:filteredScatterSeries>
          </c:ext>
        </c:extLst>
      </c:scatterChart>
      <c:valAx>
        <c:axId val="515733976"/>
        <c:scaling>
          <c:orientation val="minMax"/>
          <c:max val="26"/>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29056"/>
        <c:crosses val="autoZero"/>
        <c:crossBetween val="midCat"/>
        <c:majorUnit val="2"/>
      </c:valAx>
      <c:valAx>
        <c:axId val="515729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in"/>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33976"/>
        <c:crosses val="autoZero"/>
        <c:crossBetween val="midCat"/>
        <c:minorUnit val="5.000000000000001E-2"/>
      </c:valAx>
      <c:spPr>
        <a:ln w="3175"/>
      </c:spPr>
    </c:plotArea>
    <c:legend>
      <c:legendPos val="r"/>
      <c:layout>
        <c:manualLayout>
          <c:xMode val="edge"/>
          <c:yMode val="edge"/>
          <c:x val="0.12332546564578618"/>
          <c:y val="0.7107393186551102"/>
          <c:w val="0.22800204824895487"/>
          <c:h val="0.14980084111110384"/>
        </c:manualLayout>
      </c:layout>
      <c:overlay val="0"/>
      <c:spPr>
        <a:solidFill>
          <a:schemeClr val="bg1">
            <a:lumMod val="95000"/>
          </a:schemeClr>
        </a:solidFill>
        <a:ln>
          <a:noFill/>
        </a:ln>
      </c:spPr>
    </c:legend>
    <c:plotVisOnly val="1"/>
    <c:dispBlanksAs val="gap"/>
    <c:showDLblsOverMax val="0"/>
    <c:extLst/>
  </c:chart>
  <c:spPr>
    <a:ln>
      <a:solidFill>
        <a:schemeClr val="tx1"/>
      </a:solid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Dimension 1 --</a:t>
            </a:r>
            <a:r>
              <a:rPr lang="en-US" sz="1600" b="1" baseline="0"/>
              <a:t> Flannery remains as</a:t>
            </a:r>
            <a:br>
              <a:rPr lang="en-US" sz="1600" b="1" baseline="0"/>
            </a:br>
            <a:r>
              <a:rPr lang="en-US" sz="1600" b="1" baseline="0"/>
              <a:t>CEO of GE, Jan 1, 2020?</a:t>
            </a:r>
            <a:endParaRPr lang="en-US" sz="1600" b="1"/>
          </a:p>
        </c:rich>
      </c:tx>
      <c:layout>
        <c:manualLayout>
          <c:xMode val="edge"/>
          <c:yMode val="edge"/>
          <c:x val="0.13146606464356306"/>
          <c:y val="7.5722465788210555E-2"/>
        </c:manualLayout>
      </c:layout>
      <c:overlay val="0"/>
      <c:spPr>
        <a:solidFill>
          <a:schemeClr val="bg1">
            <a:lumMod val="95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165702882337014E-2"/>
          <c:y val="4.7854018324809171E-2"/>
          <c:w val="0.86705893213818852"/>
          <c:h val="0.8501646490041499"/>
        </c:manualLayout>
      </c:layout>
      <c:scatterChart>
        <c:scatterStyle val="lineMarker"/>
        <c:varyColors val="0"/>
        <c:ser>
          <c:idx val="4"/>
          <c:order val="0"/>
          <c:tx>
            <c:strRef>
              <c:f>Futarchy!$AE$25</c:f>
              <c:strCache>
                <c:ptCount val="1"/>
                <c:pt idx="0">
                  <c:v>No</c:v>
                </c:pt>
              </c:strCache>
            </c:strRef>
          </c:tx>
          <c:spPr>
            <a:ln w="3175" cap="rnd">
              <a:solidFill>
                <a:srgbClr val="FF0000"/>
              </a:solidFill>
              <a:round/>
            </a:ln>
            <a:effectLst/>
          </c:spPr>
          <c:marker>
            <c:symbol val="circle"/>
            <c:size val="5"/>
            <c:spPr>
              <a:solidFill>
                <a:schemeClr val="accent2">
                  <a:lumMod val="40000"/>
                  <a:lumOff val="60000"/>
                </a:schemeClr>
              </a:solidFill>
              <a:ln w="3175">
                <a:solidFill>
                  <a:srgbClr val="FF0000"/>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Futarchy!$AE$26:$AE$50</c:f>
            </c:numRef>
          </c:yVal>
          <c:smooth val="0"/>
          <c:extLst>
            <c:ext xmlns:c16="http://schemas.microsoft.com/office/drawing/2014/chart" uri="{C3380CC4-5D6E-409C-BE32-E72D297353CC}">
              <c16:uniqueId val="{00000000-975F-4BA9-99E6-088D58050E28}"/>
            </c:ext>
          </c:extLst>
        </c:ser>
        <c:ser>
          <c:idx val="5"/>
          <c:order val="1"/>
          <c:tx>
            <c:strRef>
              <c:f>Futarchy!$AF$25</c:f>
              <c:strCache>
                <c:ptCount val="1"/>
                <c:pt idx="0">
                  <c:v>Yes</c:v>
                </c:pt>
              </c:strCache>
            </c:strRef>
          </c:tx>
          <c:spPr>
            <a:ln w="28575" cap="rnd">
              <a:solidFill>
                <a:srgbClr val="00B050"/>
              </a:solidFill>
              <a:round/>
            </a:ln>
            <a:effectLst/>
          </c:spPr>
          <c:marker>
            <c:symbol val="circle"/>
            <c:size val="5"/>
            <c:spPr>
              <a:solidFill>
                <a:schemeClr val="accent3">
                  <a:lumMod val="40000"/>
                  <a:lumOff val="60000"/>
                </a:schemeClr>
              </a:solidFill>
              <a:ln w="28575">
                <a:solidFill>
                  <a:srgbClr val="00B050"/>
                </a:solidFill>
              </a:ln>
              <a:effectLst/>
            </c:spPr>
          </c:marker>
          <c:xVal>
            <c:numRef>
              <c:f>Futarchy!$D$26:$D$50</c:f>
              <c:numCache>
                <c:formatCode>d\-mmm\-yy</c:formatCode>
                <c:ptCount val="2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numCache>
            </c:numRef>
          </c:xVal>
          <c:yVal>
            <c:numRef>
              <c:f>Futarchy!$AF$26:$AF$50</c:f>
            </c:numRef>
          </c:yVal>
          <c:smooth val="0"/>
          <c:extLst>
            <c:ext xmlns:c16="http://schemas.microsoft.com/office/drawing/2014/chart" uri="{C3380CC4-5D6E-409C-BE32-E72D297353CC}">
              <c16:uniqueId val="{00000001-975F-4BA9-99E6-088D58050E28}"/>
            </c:ext>
          </c:extLst>
        </c:ser>
        <c:dLbls>
          <c:showLegendKey val="0"/>
          <c:showVal val="0"/>
          <c:showCatName val="0"/>
          <c:showSerName val="0"/>
          <c:showPercent val="0"/>
          <c:showBubbleSize val="0"/>
        </c:dLbls>
        <c:axId val="515733976"/>
        <c:axId val="515729056"/>
      </c:scatterChart>
      <c:valAx>
        <c:axId val="515733976"/>
        <c:scaling>
          <c:orientation val="minMax"/>
          <c:max val="26"/>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29056"/>
        <c:crosses val="autoZero"/>
        <c:crossBetween val="midCat"/>
        <c:majorUnit val="2"/>
      </c:valAx>
      <c:valAx>
        <c:axId val="515729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in"/>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733976"/>
        <c:crosses val="autoZero"/>
        <c:crossBetween val="midCat"/>
        <c:minorUnit val="5.000000000000001E-2"/>
      </c:valAx>
      <c:spPr>
        <a:noFill/>
        <a:ln>
          <a:noFill/>
        </a:ln>
        <a:effectLst/>
      </c:spPr>
    </c:plotArea>
    <c:legend>
      <c:legendPos val="r"/>
      <c:layout>
        <c:manualLayout>
          <c:xMode val="edge"/>
          <c:yMode val="edge"/>
          <c:x val="0.13503949698976556"/>
          <c:y val="0.73832504915602903"/>
          <c:w val="0.10128672088169066"/>
          <c:h val="0.1428581903456036"/>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Conditional -- NYSE:GE</a:t>
            </a:r>
            <a:r>
              <a:rPr lang="en-US" baseline="0"/>
              <a:t> on 5/02/2019</a:t>
            </a:r>
          </a:p>
        </c:rich>
      </c:tx>
      <c:layout>
        <c:manualLayout>
          <c:xMode val="edge"/>
          <c:yMode val="edge"/>
          <c:x val="0.20049540256477422"/>
          <c:y val="3.224985333676373E-2"/>
        </c:manualLayout>
      </c:layout>
      <c:overlay val="0"/>
      <c:spPr>
        <a:solidFill>
          <a:schemeClr val="bg1">
            <a:lumMod val="95000"/>
          </a:schemeClr>
        </a:solidFill>
      </c:spPr>
    </c:title>
    <c:autoTitleDeleted val="0"/>
    <c:plotArea>
      <c:layout>
        <c:manualLayout>
          <c:layoutTarget val="inner"/>
          <c:xMode val="edge"/>
          <c:yMode val="edge"/>
          <c:x val="7.9188867526644266E-2"/>
          <c:y val="2.7624569335166844E-2"/>
          <c:w val="0.89823316494942662"/>
          <c:h val="0.87229081255484675"/>
        </c:manualLayout>
      </c:layout>
      <c:lineChart>
        <c:grouping val="standard"/>
        <c:varyColors val="0"/>
        <c:ser>
          <c:idx val="0"/>
          <c:order val="0"/>
          <c:tx>
            <c:strRef>
              <c:f>Futarchy!$AH$66</c:f>
              <c:strCache>
                <c:ptCount val="1"/>
                <c:pt idx="0">
                  <c:v>Max | CEO Leaves</c:v>
                </c:pt>
              </c:strCache>
            </c:strRef>
          </c:tx>
          <c:marker>
            <c:symbol val="none"/>
          </c:marker>
          <c:val>
            <c:numRef>
              <c:f>Futarchy!$S$26:$S$50</c:f>
              <c:numCache>
                <c:formatCode>0.00</c:formatCode>
                <c:ptCount val="25"/>
                <c:pt idx="0">
                  <c:v>26</c:v>
                </c:pt>
                <c:pt idx="1">
                  <c:v>24.311405838916222</c:v>
                </c:pt>
                <c:pt idx="2">
                  <c:v>21.945573855139656</c:v>
                </c:pt>
                <c:pt idx="3">
                  <c:v>20.30132196544497</c:v>
                </c:pt>
                <c:pt idx="4">
                  <c:v>17.431759763148605</c:v>
                </c:pt>
                <c:pt idx="5">
                  <c:v>13.907299193587061</c:v>
                </c:pt>
                <c:pt idx="6">
                  <c:v>12.101753199573846</c:v>
                </c:pt>
                <c:pt idx="7">
                  <c:v>12.74146334645283</c:v>
                </c:pt>
                <c:pt idx="8">
                  <c:v>12.912412622225437</c:v>
                </c:pt>
                <c:pt idx="9">
                  <c:v>14.580088150611456</c:v>
                </c:pt>
                <c:pt idx="10">
                  <c:v>10.38655702930264</c:v>
                </c:pt>
                <c:pt idx="11">
                  <c:v>9.8427696405719747</c:v>
                </c:pt>
                <c:pt idx="12">
                  <c:v>10.523419078520245</c:v>
                </c:pt>
                <c:pt idx="13">
                  <c:v>13.241440378799151</c:v>
                </c:pt>
                <c:pt idx="14">
                  <c:v>15.961528805145619</c:v>
                </c:pt>
                <c:pt idx="15">
                  <c:v>14.960936653733906</c:v>
                </c:pt>
                <c:pt idx="16">
                  <c:v>7.4448306021688104</c:v>
                </c:pt>
                <c:pt idx="17">
                  <c:v>3.3639745573463351</c:v>
                </c:pt>
                <c:pt idx="18">
                  <c:v>2.8934780356533736</c:v>
                </c:pt>
                <c:pt idx="19">
                  <c:v>2.5897888029732408</c:v>
                </c:pt>
                <c:pt idx="20">
                  <c:v>2.2093122926043423</c:v>
                </c:pt>
                <c:pt idx="21">
                  <c:v>2.2306154104318301</c:v>
                </c:pt>
                <c:pt idx="22">
                  <c:v>2.2020806633709573</c:v>
                </c:pt>
                <c:pt idx="23">
                  <c:v>2.1824260446751071</c:v>
                </c:pt>
                <c:pt idx="24">
                  <c:v>2.1728175826029097</c:v>
                </c:pt>
              </c:numCache>
            </c:numRef>
          </c:val>
          <c:smooth val="0"/>
          <c:extLst>
            <c:ext xmlns:c16="http://schemas.microsoft.com/office/drawing/2014/chart" uri="{C3380CC4-5D6E-409C-BE32-E72D297353CC}">
              <c16:uniqueId val="{00000000-7511-4719-93C6-70588179DEBE}"/>
            </c:ext>
          </c:extLst>
        </c:ser>
        <c:ser>
          <c:idx val="1"/>
          <c:order val="1"/>
          <c:tx>
            <c:strRef>
              <c:f>Futarchy!$AH$67</c:f>
              <c:strCache>
                <c:ptCount val="1"/>
                <c:pt idx="0">
                  <c:v>Max | CEO Stays</c:v>
                </c:pt>
              </c:strCache>
            </c:strRef>
          </c:tx>
          <c:marker>
            <c:symbol val="none"/>
          </c:marker>
          <c:val>
            <c:numRef>
              <c:f>Futarchy!$T$26:$T$50</c:f>
              <c:numCache>
                <c:formatCode>0.00</c:formatCode>
                <c:ptCount val="25"/>
                <c:pt idx="0">
                  <c:v>26</c:v>
                </c:pt>
                <c:pt idx="1">
                  <c:v>28.149499000267795</c:v>
                </c:pt>
                <c:pt idx="2">
                  <c:v>25.785579303744182</c:v>
                </c:pt>
                <c:pt idx="3">
                  <c:v>24.145297986874493</c:v>
                </c:pt>
                <c:pt idx="4">
                  <c:v>21.271585778757121</c:v>
                </c:pt>
                <c:pt idx="5">
                  <c:v>17.751657975246545</c:v>
                </c:pt>
                <c:pt idx="6">
                  <c:v>15.944140752593952</c:v>
                </c:pt>
                <c:pt idx="7">
                  <c:v>16.584171585637495</c:v>
                </c:pt>
                <c:pt idx="8">
                  <c:v>16.756044669072427</c:v>
                </c:pt>
                <c:pt idx="9">
                  <c:v>18.420508919743714</c:v>
                </c:pt>
                <c:pt idx="10">
                  <c:v>16.148501505084894</c:v>
                </c:pt>
                <c:pt idx="11">
                  <c:v>15.611249747044882</c:v>
                </c:pt>
                <c:pt idx="12">
                  <c:v>16.304220783470342</c:v>
                </c:pt>
                <c:pt idx="13">
                  <c:v>19.010211587603575</c:v>
                </c:pt>
                <c:pt idx="14">
                  <c:v>21.717254840395682</c:v>
                </c:pt>
                <c:pt idx="15">
                  <c:v>20.72028619035536</c:v>
                </c:pt>
                <c:pt idx="16">
                  <c:v>17.040853187696463</c:v>
                </c:pt>
                <c:pt idx="17">
                  <c:v>12.65963367978577</c:v>
                </c:pt>
                <c:pt idx="18">
                  <c:v>11.739760444676936</c:v>
                </c:pt>
                <c:pt idx="19">
                  <c:v>10.269827481703992</c:v>
                </c:pt>
                <c:pt idx="20">
                  <c:v>14.445832235240278</c:v>
                </c:pt>
                <c:pt idx="21">
                  <c:v>15.371701681214692</c:v>
                </c:pt>
                <c:pt idx="22">
                  <c:v>14.785348314306368</c:v>
                </c:pt>
                <c:pt idx="23">
                  <c:v>14.388619331149517</c:v>
                </c:pt>
                <c:pt idx="24">
                  <c:v>14.002083861982133</c:v>
                </c:pt>
              </c:numCache>
            </c:numRef>
          </c:val>
          <c:smooth val="0"/>
          <c:extLst>
            <c:ext xmlns:c16="http://schemas.microsoft.com/office/drawing/2014/chart" uri="{C3380CC4-5D6E-409C-BE32-E72D297353CC}">
              <c16:uniqueId val="{00000001-7511-4719-93C6-70588179DEBE}"/>
            </c:ext>
          </c:extLst>
        </c:ser>
        <c:dLbls>
          <c:showLegendKey val="0"/>
          <c:showVal val="0"/>
          <c:showCatName val="0"/>
          <c:showSerName val="0"/>
          <c:showPercent val="0"/>
          <c:showBubbleSize val="0"/>
        </c:dLbls>
        <c:smooth val="0"/>
        <c:axId val="115212800"/>
        <c:axId val="164222592"/>
      </c:lineChart>
      <c:catAx>
        <c:axId val="115212800"/>
        <c:scaling>
          <c:orientation val="minMax"/>
        </c:scaling>
        <c:delete val="0"/>
        <c:axPos val="b"/>
        <c:majorTickMark val="out"/>
        <c:minorTickMark val="none"/>
        <c:tickLblPos val="nextTo"/>
        <c:crossAx val="164222592"/>
        <c:crosses val="autoZero"/>
        <c:auto val="1"/>
        <c:lblAlgn val="ctr"/>
        <c:lblOffset val="100"/>
        <c:noMultiLvlLbl val="0"/>
      </c:catAx>
      <c:valAx>
        <c:axId val="164222592"/>
        <c:scaling>
          <c:orientation val="minMax"/>
          <c:max val="50"/>
          <c:min val="2"/>
        </c:scaling>
        <c:delete val="0"/>
        <c:axPos val="l"/>
        <c:majorGridlines/>
        <c:numFmt formatCode="0.00" sourceLinked="1"/>
        <c:majorTickMark val="out"/>
        <c:minorTickMark val="none"/>
        <c:tickLblPos val="nextTo"/>
        <c:crossAx val="115212800"/>
        <c:crosses val="autoZero"/>
        <c:crossBetween val="between"/>
      </c:valAx>
    </c:plotArea>
    <c:legend>
      <c:legendPos val="b"/>
      <c:layout>
        <c:manualLayout>
          <c:xMode val="edge"/>
          <c:yMode val="edge"/>
          <c:x val="9.4514897753604915E-2"/>
          <c:y val="0.74076978296574414"/>
          <c:w val="0.2541294236246322"/>
          <c:h val="0.14635641370205341"/>
        </c:manualLayout>
      </c:layout>
      <c:overlay val="0"/>
      <c:spPr>
        <a:solidFill>
          <a:schemeClr val="bg1">
            <a:lumMod val="95000"/>
          </a:schemeClr>
        </a:solidFill>
      </c:sp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Conditional -- NYSE:GE</a:t>
            </a:r>
            <a:r>
              <a:rPr lang="en-US" baseline="0"/>
              <a:t> on 5/02/2019</a:t>
            </a:r>
          </a:p>
        </c:rich>
      </c:tx>
      <c:layout>
        <c:manualLayout>
          <c:xMode val="edge"/>
          <c:yMode val="edge"/>
          <c:x val="0.20049540256477422"/>
          <c:y val="3.224985333676373E-2"/>
        </c:manualLayout>
      </c:layout>
      <c:overlay val="0"/>
      <c:spPr>
        <a:solidFill>
          <a:schemeClr val="bg1">
            <a:lumMod val="95000"/>
          </a:schemeClr>
        </a:solidFill>
      </c:spPr>
    </c:title>
    <c:autoTitleDeleted val="0"/>
    <c:plotArea>
      <c:layout>
        <c:manualLayout>
          <c:layoutTarget val="inner"/>
          <c:xMode val="edge"/>
          <c:yMode val="edge"/>
          <c:x val="7.9188867526644266E-2"/>
          <c:y val="2.7624569335166844E-2"/>
          <c:w val="0.89823316494942662"/>
          <c:h val="0.87229081255484675"/>
        </c:manualLayout>
      </c:layout>
      <c:lineChart>
        <c:grouping val="standard"/>
        <c:varyColors val="0"/>
        <c:ser>
          <c:idx val="0"/>
          <c:order val="0"/>
          <c:tx>
            <c:strRef>
              <c:f>Futarchy!$V$59</c:f>
              <c:strCache>
                <c:ptCount val="1"/>
                <c:pt idx="0">
                  <c:v>leave | min</c:v>
                </c:pt>
              </c:strCache>
            </c:strRef>
          </c:tx>
          <c:marker>
            <c:symbol val="none"/>
          </c:marker>
          <c:val>
            <c:numRef>
              <c:f>Futarchy!$V$60:$V$84</c:f>
            </c:numRef>
          </c:val>
          <c:smooth val="0"/>
          <c:extLst>
            <c:ext xmlns:c16="http://schemas.microsoft.com/office/drawing/2014/chart" uri="{C3380CC4-5D6E-409C-BE32-E72D297353CC}">
              <c16:uniqueId val="{00000000-AEE7-4FE5-AB47-FF1A17176B58}"/>
            </c:ext>
          </c:extLst>
        </c:ser>
        <c:ser>
          <c:idx val="1"/>
          <c:order val="1"/>
          <c:tx>
            <c:strRef>
              <c:f>Futarchy!$W$59</c:f>
              <c:strCache>
                <c:ptCount val="1"/>
                <c:pt idx="0">
                  <c:v>leave | max</c:v>
                </c:pt>
              </c:strCache>
            </c:strRef>
          </c:tx>
          <c:marker>
            <c:symbol val="none"/>
          </c:marker>
          <c:val>
            <c:numRef>
              <c:f>Futarchy!$W$60:$W$84</c:f>
            </c:numRef>
          </c:val>
          <c:smooth val="0"/>
          <c:extLst>
            <c:ext xmlns:c16="http://schemas.microsoft.com/office/drawing/2014/chart" uri="{C3380CC4-5D6E-409C-BE32-E72D297353CC}">
              <c16:uniqueId val="{00000001-AEE7-4FE5-AB47-FF1A17176B58}"/>
            </c:ext>
          </c:extLst>
        </c:ser>
        <c:dLbls>
          <c:showLegendKey val="0"/>
          <c:showVal val="0"/>
          <c:showCatName val="0"/>
          <c:showSerName val="0"/>
          <c:showPercent val="0"/>
          <c:showBubbleSize val="0"/>
        </c:dLbls>
        <c:marker val="1"/>
        <c:smooth val="0"/>
        <c:axId val="115212800"/>
        <c:axId val="164222592"/>
      </c:lineChart>
      <c:catAx>
        <c:axId val="115212800"/>
        <c:scaling>
          <c:orientation val="minMax"/>
        </c:scaling>
        <c:delete val="0"/>
        <c:axPos val="b"/>
        <c:majorTickMark val="out"/>
        <c:minorTickMark val="none"/>
        <c:tickLblPos val="nextTo"/>
        <c:crossAx val="164222592"/>
        <c:crosses val="autoZero"/>
        <c:auto val="1"/>
        <c:lblAlgn val="ctr"/>
        <c:lblOffset val="100"/>
        <c:noMultiLvlLbl val="0"/>
      </c:catAx>
      <c:valAx>
        <c:axId val="164222592"/>
        <c:scaling>
          <c:orientation val="minMax"/>
          <c:max val="1"/>
        </c:scaling>
        <c:delete val="0"/>
        <c:axPos val="l"/>
        <c:majorGridlines/>
        <c:numFmt formatCode="General" sourceLinked="1"/>
        <c:majorTickMark val="out"/>
        <c:minorTickMark val="none"/>
        <c:tickLblPos val="nextTo"/>
        <c:crossAx val="115212800"/>
        <c:crosses val="autoZero"/>
        <c:crossBetween val="between"/>
      </c:valAx>
    </c:plotArea>
    <c:legend>
      <c:legendPos val="b"/>
      <c:layout>
        <c:manualLayout>
          <c:xMode val="edge"/>
          <c:yMode val="edge"/>
          <c:x val="0.1113612486867777"/>
          <c:y val="0.24175602275953764"/>
          <c:w val="0.21802995435368241"/>
          <c:h val="0.14635641370205341"/>
        </c:manualLayout>
      </c:layout>
      <c:overlay val="0"/>
      <c:spPr>
        <a:solidFill>
          <a:schemeClr val="bg1">
            <a:lumMod val="95000"/>
          </a:schemeClr>
        </a:solidFill>
      </c:spPr>
    </c:legend>
    <c:plotVisOnly val="1"/>
    <c:dispBlanksAs val="gap"/>
    <c:showDLblsOverMax val="0"/>
  </c:chart>
  <c:spPr>
    <a:ln>
      <a:solidFill>
        <a:schemeClr val="tx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6</xdr:col>
      <xdr:colOff>163285</xdr:colOff>
      <xdr:row>5</xdr:row>
      <xdr:rowOff>312964</xdr:rowOff>
    </xdr:from>
    <xdr:to>
      <xdr:col>19</xdr:col>
      <xdr:colOff>4082</xdr:colOff>
      <xdr:row>18</xdr:row>
      <xdr:rowOff>380999</xdr:rowOff>
    </xdr:to>
    <xdr:pic>
      <xdr:nvPicPr>
        <xdr:cNvPr id="2" name="Picture 1">
          <a:extLst>
            <a:ext uri="{FF2B5EF4-FFF2-40B4-BE49-F238E27FC236}">
              <a16:creationId xmlns:a16="http://schemas.microsoft.com/office/drawing/2014/main" id="{E12A8944-B903-444C-9DA5-BC1A2905C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8321" y="2204357"/>
          <a:ext cx="8943975" cy="661307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136072</xdr:colOff>
      <xdr:row>19</xdr:row>
      <xdr:rowOff>27214</xdr:rowOff>
    </xdr:from>
    <xdr:to>
      <xdr:col>19</xdr:col>
      <xdr:colOff>91169</xdr:colOff>
      <xdr:row>39</xdr:row>
      <xdr:rowOff>-1</xdr:rowOff>
    </xdr:to>
    <xdr:pic>
      <xdr:nvPicPr>
        <xdr:cNvPr id="4" name="Picture 3">
          <a:extLst>
            <a:ext uri="{FF2B5EF4-FFF2-40B4-BE49-F238E27FC236}">
              <a16:creationId xmlns:a16="http://schemas.microsoft.com/office/drawing/2014/main" id="{9B61CE83-EC65-46D9-AC0D-91A87A8F2C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01108" y="8967107"/>
          <a:ext cx="9058275" cy="680357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476250</xdr:colOff>
      <xdr:row>9</xdr:row>
      <xdr:rowOff>380999</xdr:rowOff>
    </xdr:from>
    <xdr:to>
      <xdr:col>19</xdr:col>
      <xdr:colOff>476250</xdr:colOff>
      <xdr:row>19</xdr:row>
      <xdr:rowOff>163285</xdr:rowOff>
    </xdr:to>
    <xdr:sp macro="" textlink="">
      <xdr:nvSpPr>
        <xdr:cNvPr id="5" name="Rectangle: Rounded Corners 4">
          <a:extLst>
            <a:ext uri="{FF2B5EF4-FFF2-40B4-BE49-F238E27FC236}">
              <a16:creationId xmlns:a16="http://schemas.microsoft.com/office/drawing/2014/main" id="{B784A76A-F126-4F20-89CD-2CE2C937C7A6}"/>
            </a:ext>
          </a:extLst>
        </xdr:cNvPr>
        <xdr:cNvSpPr/>
      </xdr:nvSpPr>
      <xdr:spPr>
        <a:xfrm>
          <a:off x="19294929" y="4286249"/>
          <a:ext cx="4449535" cy="4816929"/>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19</xdr:col>
      <xdr:colOff>544286</xdr:colOff>
      <xdr:row>15</xdr:row>
      <xdr:rowOff>163286</xdr:rowOff>
    </xdr:from>
    <xdr:ext cx="2974597" cy="718466"/>
    <xdr:sp macro="" textlink="">
      <xdr:nvSpPr>
        <xdr:cNvPr id="6" name="TextBox 5">
          <a:extLst>
            <a:ext uri="{FF2B5EF4-FFF2-40B4-BE49-F238E27FC236}">
              <a16:creationId xmlns:a16="http://schemas.microsoft.com/office/drawing/2014/main" id="{7F55FB1A-28C9-4B7D-8624-BB39E8FFE39B}"/>
            </a:ext>
          </a:extLst>
        </xdr:cNvPr>
        <xdr:cNvSpPr txBox="1"/>
      </xdr:nvSpPr>
      <xdr:spPr>
        <a:xfrm>
          <a:off x="23812500" y="7089322"/>
          <a:ext cx="2974597"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000" b="1">
              <a:solidFill>
                <a:schemeClr val="accent1">
                  <a:lumMod val="75000"/>
                </a:schemeClr>
              </a:solidFill>
            </a:rPr>
            <a:t>We are here!</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35</xdr:col>
      <xdr:colOff>240949</xdr:colOff>
      <xdr:row>84</xdr:row>
      <xdr:rowOff>60236</xdr:rowOff>
    </xdr:from>
    <xdr:to>
      <xdr:col>43</xdr:col>
      <xdr:colOff>483402</xdr:colOff>
      <xdr:row>99</xdr:row>
      <xdr:rowOff>129509</xdr:rowOff>
    </xdr:to>
    <xdr:graphicFrame macro="">
      <xdr:nvGraphicFramePr>
        <xdr:cNvPr id="6" name="Chart 5">
          <a:extLst>
            <a:ext uri="{FF2B5EF4-FFF2-40B4-BE49-F238E27FC236}">
              <a16:creationId xmlns:a16="http://schemas.microsoft.com/office/drawing/2014/main" id="{D1D63805-651E-4748-8BA7-20F5B3BF6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435429</xdr:colOff>
      <xdr:row>96</xdr:row>
      <xdr:rowOff>136071</xdr:rowOff>
    </xdr:from>
    <xdr:to>
      <xdr:col>26</xdr:col>
      <xdr:colOff>1167739</xdr:colOff>
      <xdr:row>112</xdr:row>
      <xdr:rowOff>14844</xdr:rowOff>
    </xdr:to>
    <xdr:graphicFrame macro="">
      <xdr:nvGraphicFramePr>
        <xdr:cNvPr id="7" name="Chart 6">
          <a:extLst>
            <a:ext uri="{FF2B5EF4-FFF2-40B4-BE49-F238E27FC236}">
              <a16:creationId xmlns:a16="http://schemas.microsoft.com/office/drawing/2014/main" id="{62C7551E-F403-4D62-B622-01102573C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542924</xdr:colOff>
      <xdr:row>130</xdr:row>
      <xdr:rowOff>57149</xdr:rowOff>
    </xdr:from>
    <xdr:to>
      <xdr:col>21</xdr:col>
      <xdr:colOff>333375</xdr:colOff>
      <xdr:row>147</xdr:row>
      <xdr:rowOff>104774</xdr:rowOff>
    </xdr:to>
    <xdr:sp macro="" textlink="">
      <xdr:nvSpPr>
        <xdr:cNvPr id="2" name="Rectangle 1">
          <a:extLst>
            <a:ext uri="{FF2B5EF4-FFF2-40B4-BE49-F238E27FC236}">
              <a16:creationId xmlns:a16="http://schemas.microsoft.com/office/drawing/2014/main" id="{368CF3DC-A16C-403E-B130-4430AF60F798}"/>
            </a:ext>
          </a:extLst>
        </xdr:cNvPr>
        <xdr:cNvSpPr/>
      </xdr:nvSpPr>
      <xdr:spPr>
        <a:xfrm>
          <a:off x="11144249" y="19230974"/>
          <a:ext cx="5886451" cy="334327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436855</xdr:colOff>
      <xdr:row>58</xdr:row>
      <xdr:rowOff>85725</xdr:rowOff>
    </xdr:from>
    <xdr:to>
      <xdr:col>3</xdr:col>
      <xdr:colOff>219075</xdr:colOff>
      <xdr:row>117</xdr:row>
      <xdr:rowOff>104775</xdr:rowOff>
    </xdr:to>
    <xdr:sp macro="" textlink="">
      <xdr:nvSpPr>
        <xdr:cNvPr id="3" name="Freeform: Shape 2">
          <a:extLst>
            <a:ext uri="{FF2B5EF4-FFF2-40B4-BE49-F238E27FC236}">
              <a16:creationId xmlns:a16="http://schemas.microsoft.com/office/drawing/2014/main" id="{0D7AC8CE-DCBD-4EA6-9167-FEC53C9C3AF9}"/>
            </a:ext>
          </a:extLst>
        </xdr:cNvPr>
        <xdr:cNvSpPr/>
      </xdr:nvSpPr>
      <xdr:spPr>
        <a:xfrm>
          <a:off x="1046455" y="11953875"/>
          <a:ext cx="1677695" cy="4838700"/>
        </a:xfrm>
        <a:custGeom>
          <a:avLst/>
          <a:gdLst>
            <a:gd name="connsiteX0" fmla="*/ 1677695 w 1677695"/>
            <a:gd name="connsiteY0" fmla="*/ 0 h 4838700"/>
            <a:gd name="connsiteX1" fmla="*/ 29870 w 1677695"/>
            <a:gd name="connsiteY1" fmla="*/ 3581400 h 4838700"/>
            <a:gd name="connsiteX2" fmla="*/ 772820 w 1677695"/>
            <a:gd name="connsiteY2" fmla="*/ 4838700 h 4838700"/>
          </a:gdLst>
          <a:ahLst/>
          <a:cxnLst>
            <a:cxn ang="0">
              <a:pos x="connsiteX0" y="connsiteY0"/>
            </a:cxn>
            <a:cxn ang="0">
              <a:pos x="connsiteX1" y="connsiteY1"/>
            </a:cxn>
            <a:cxn ang="0">
              <a:pos x="connsiteX2" y="connsiteY2"/>
            </a:cxn>
          </a:cxnLst>
          <a:rect l="l" t="t" r="r" b="b"/>
          <a:pathLst>
            <a:path w="1677695" h="4838700">
              <a:moveTo>
                <a:pt x="1677695" y="0"/>
              </a:moveTo>
              <a:cubicBezTo>
                <a:pt x="929188" y="1387475"/>
                <a:pt x="180682" y="2774950"/>
                <a:pt x="29870" y="3581400"/>
              </a:cubicBezTo>
              <a:cubicBezTo>
                <a:pt x="-120942" y="4387850"/>
                <a:pt x="325939" y="4613275"/>
                <a:pt x="772820" y="48387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656606</xdr:colOff>
      <xdr:row>118</xdr:row>
      <xdr:rowOff>104775</xdr:rowOff>
    </xdr:from>
    <xdr:to>
      <xdr:col>13</xdr:col>
      <xdr:colOff>381000</xdr:colOff>
      <xdr:row>145</xdr:row>
      <xdr:rowOff>99035</xdr:rowOff>
    </xdr:to>
    <xdr:sp macro="" textlink="">
      <xdr:nvSpPr>
        <xdr:cNvPr id="4" name="Freeform: Shape 3">
          <a:extLst>
            <a:ext uri="{FF2B5EF4-FFF2-40B4-BE49-F238E27FC236}">
              <a16:creationId xmlns:a16="http://schemas.microsoft.com/office/drawing/2014/main" id="{F1AF6930-DDED-45CE-BE6D-CADAED095360}"/>
            </a:ext>
          </a:extLst>
        </xdr:cNvPr>
        <xdr:cNvSpPr/>
      </xdr:nvSpPr>
      <xdr:spPr>
        <a:xfrm>
          <a:off x="1266206" y="16983075"/>
          <a:ext cx="9716119" cy="5204435"/>
        </a:xfrm>
        <a:custGeom>
          <a:avLst/>
          <a:gdLst>
            <a:gd name="connsiteX0" fmla="*/ 886444 w 9716119"/>
            <a:gd name="connsiteY0" fmla="*/ 0 h 5204435"/>
            <a:gd name="connsiteX1" fmla="*/ 838819 w 9716119"/>
            <a:gd name="connsiteY1" fmla="*/ 4829175 h 5204435"/>
            <a:gd name="connsiteX2" fmla="*/ 9716119 w 9716119"/>
            <a:gd name="connsiteY2" fmla="*/ 4524375 h 5204435"/>
          </a:gdLst>
          <a:ahLst/>
          <a:cxnLst>
            <a:cxn ang="0">
              <a:pos x="connsiteX0" y="connsiteY0"/>
            </a:cxn>
            <a:cxn ang="0">
              <a:pos x="connsiteX1" y="connsiteY1"/>
            </a:cxn>
            <a:cxn ang="0">
              <a:pos x="connsiteX2" y="connsiteY2"/>
            </a:cxn>
          </a:cxnLst>
          <a:rect l="l" t="t" r="r" b="b"/>
          <a:pathLst>
            <a:path w="9716119" h="5204435">
              <a:moveTo>
                <a:pt x="886444" y="0"/>
              </a:moveTo>
              <a:cubicBezTo>
                <a:pt x="126825" y="2037556"/>
                <a:pt x="-632794" y="4075112"/>
                <a:pt x="838819" y="4829175"/>
              </a:cubicBezTo>
              <a:cubicBezTo>
                <a:pt x="2310432" y="5583238"/>
                <a:pt x="6013275" y="5053806"/>
                <a:pt x="9716119" y="452437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15</xdr:col>
      <xdr:colOff>552450</xdr:colOff>
      <xdr:row>128</xdr:row>
      <xdr:rowOff>152400</xdr:rowOff>
    </xdr:from>
    <xdr:ext cx="1391791" cy="280205"/>
    <xdr:sp macro="" textlink="">
      <xdr:nvSpPr>
        <xdr:cNvPr id="5" name="TextBox 4">
          <a:extLst>
            <a:ext uri="{FF2B5EF4-FFF2-40B4-BE49-F238E27FC236}">
              <a16:creationId xmlns:a16="http://schemas.microsoft.com/office/drawing/2014/main" id="{31D81D2F-E337-4EC7-99CE-A83A105FCCE8}"/>
            </a:ext>
          </a:extLst>
        </xdr:cNvPr>
        <xdr:cNvSpPr txBox="1"/>
      </xdr:nvSpPr>
      <xdr:spPr>
        <a:xfrm>
          <a:off x="12677775" y="18945225"/>
          <a:ext cx="13917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rgbClr val="C00000"/>
              </a:solidFill>
            </a:rPr>
            <a:t>Useful information</a:t>
          </a:r>
        </a:p>
      </xdr:txBody>
    </xdr:sp>
    <xdr:clientData/>
  </xdr:oneCellAnchor>
  <xdr:twoCellAnchor>
    <xdr:from>
      <xdr:col>13</xdr:col>
      <xdr:colOff>495299</xdr:colOff>
      <xdr:row>163</xdr:row>
      <xdr:rowOff>28574</xdr:rowOff>
    </xdr:from>
    <xdr:to>
      <xdr:col>21</xdr:col>
      <xdr:colOff>285750</xdr:colOff>
      <xdr:row>180</xdr:row>
      <xdr:rowOff>95249</xdr:rowOff>
    </xdr:to>
    <xdr:sp macro="" textlink="">
      <xdr:nvSpPr>
        <xdr:cNvPr id="8" name="Rectangle 7">
          <a:extLst>
            <a:ext uri="{FF2B5EF4-FFF2-40B4-BE49-F238E27FC236}">
              <a16:creationId xmlns:a16="http://schemas.microsoft.com/office/drawing/2014/main" id="{538D9E87-9144-4FDB-B073-9821A0FF5558}"/>
            </a:ext>
          </a:extLst>
        </xdr:cNvPr>
        <xdr:cNvSpPr/>
      </xdr:nvSpPr>
      <xdr:spPr>
        <a:xfrm>
          <a:off x="11096624" y="25555574"/>
          <a:ext cx="5886451" cy="3343275"/>
        </a:xfrm>
        <a:prstGeom prst="rect">
          <a:avLst/>
        </a:prstGeom>
        <a:noFill/>
        <a:ln w="7620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324974</xdr:colOff>
      <xdr:row>50</xdr:row>
      <xdr:rowOff>22412</xdr:rowOff>
    </xdr:from>
    <xdr:to>
      <xdr:col>23</xdr:col>
      <xdr:colOff>403413</xdr:colOff>
      <xdr:row>66</xdr:row>
      <xdr:rowOff>56029</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285750</xdr:colOff>
      <xdr:row>64</xdr:row>
      <xdr:rowOff>190500</xdr:rowOff>
    </xdr:from>
    <xdr:to>
      <xdr:col>52</xdr:col>
      <xdr:colOff>590550</xdr:colOff>
      <xdr:row>89</xdr:row>
      <xdr:rowOff>28575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571500</xdr:colOff>
      <xdr:row>69</xdr:row>
      <xdr:rowOff>134470</xdr:rowOff>
    </xdr:from>
    <xdr:to>
      <xdr:col>5</xdr:col>
      <xdr:colOff>0</xdr:colOff>
      <xdr:row>90</xdr:row>
      <xdr:rowOff>44823</xdr:rowOff>
    </xdr:to>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a:off x="1781735" y="8628529"/>
          <a:ext cx="1557618" cy="2095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70</xdr:row>
      <xdr:rowOff>145676</xdr:rowOff>
    </xdr:from>
    <xdr:to>
      <xdr:col>4</xdr:col>
      <xdr:colOff>739588</xdr:colOff>
      <xdr:row>96</xdr:row>
      <xdr:rowOff>33617</xdr:rowOff>
    </xdr:to>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a:off x="1781735" y="8841441"/>
          <a:ext cx="1535206" cy="3048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71</xdr:row>
      <xdr:rowOff>134470</xdr:rowOff>
    </xdr:from>
    <xdr:to>
      <xdr:col>4</xdr:col>
      <xdr:colOff>750794</xdr:colOff>
      <xdr:row>104</xdr:row>
      <xdr:rowOff>44824</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781735" y="9031941"/>
          <a:ext cx="1546412" cy="46168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493061</xdr:colOff>
      <xdr:row>10</xdr:row>
      <xdr:rowOff>224117</xdr:rowOff>
    </xdr:from>
    <xdr:to>
      <xdr:col>16</xdr:col>
      <xdr:colOff>437031</xdr:colOff>
      <xdr:row>25</xdr:row>
      <xdr:rowOff>89648</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285750</xdr:colOff>
      <xdr:row>5</xdr:row>
      <xdr:rowOff>190500</xdr:rowOff>
    </xdr:from>
    <xdr:to>
      <xdr:col>49</xdr:col>
      <xdr:colOff>590550</xdr:colOff>
      <xdr:row>19</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244580</xdr:colOff>
      <xdr:row>37</xdr:row>
      <xdr:rowOff>125360</xdr:rowOff>
    </xdr:from>
    <xdr:to>
      <xdr:col>36</xdr:col>
      <xdr:colOff>266286</xdr:colOff>
      <xdr:row>54</xdr:row>
      <xdr:rowOff>48721</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659065</xdr:colOff>
      <xdr:row>92</xdr:row>
      <xdr:rowOff>111579</xdr:rowOff>
    </xdr:from>
    <xdr:to>
      <xdr:col>17</xdr:col>
      <xdr:colOff>530197</xdr:colOff>
      <xdr:row>111</xdr:row>
      <xdr:rowOff>44905</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685798</xdr:colOff>
      <xdr:row>92</xdr:row>
      <xdr:rowOff>70757</xdr:rowOff>
    </xdr:from>
    <xdr:to>
      <xdr:col>12</xdr:col>
      <xdr:colOff>189138</xdr:colOff>
      <xdr:row>110</xdr:row>
      <xdr:rowOff>159283</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390524</xdr:colOff>
      <xdr:row>12</xdr:row>
      <xdr:rowOff>276224</xdr:rowOff>
    </xdr:from>
    <xdr:to>
      <xdr:col>32</xdr:col>
      <xdr:colOff>733424</xdr:colOff>
      <xdr:row>30</xdr:row>
      <xdr:rowOff>95249</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795130</xdr:colOff>
      <xdr:row>35</xdr:row>
      <xdr:rowOff>115957</xdr:rowOff>
    </xdr:from>
    <xdr:to>
      <xdr:col>19</xdr:col>
      <xdr:colOff>985630</xdr:colOff>
      <xdr:row>41</xdr:row>
      <xdr:rowOff>107674</xdr:rowOff>
    </xdr:to>
    <xdr:cxnSp macro="">
      <xdr:nvCxnSpPr>
        <xdr:cNvPr id="7" name="Straight Connector 6">
          <a:extLst>
            <a:ext uri="{FF2B5EF4-FFF2-40B4-BE49-F238E27FC236}">
              <a16:creationId xmlns:a16="http://schemas.microsoft.com/office/drawing/2014/main" id="{00000000-0008-0000-0E00-000007000000}"/>
            </a:ext>
          </a:extLst>
        </xdr:cNvPr>
        <xdr:cNvCxnSpPr/>
      </xdr:nvCxnSpPr>
      <xdr:spPr>
        <a:xfrm flipV="1">
          <a:off x="14511130" y="7346674"/>
          <a:ext cx="2990022" cy="11678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861391</xdr:colOff>
      <xdr:row>36</xdr:row>
      <xdr:rowOff>0</xdr:rowOff>
    </xdr:from>
    <xdr:to>
      <xdr:col>19</xdr:col>
      <xdr:colOff>977348</xdr:colOff>
      <xdr:row>45</xdr:row>
      <xdr:rowOff>57978</xdr:rowOff>
    </xdr:to>
    <xdr:cxnSp macro="">
      <xdr:nvCxnSpPr>
        <xdr:cNvPr id="8" name="Straight Connector 7">
          <a:extLst>
            <a:ext uri="{FF2B5EF4-FFF2-40B4-BE49-F238E27FC236}">
              <a16:creationId xmlns:a16="http://schemas.microsoft.com/office/drawing/2014/main" id="{00000000-0008-0000-0E00-000008000000}"/>
            </a:ext>
          </a:extLst>
        </xdr:cNvPr>
        <xdr:cNvCxnSpPr/>
      </xdr:nvCxnSpPr>
      <xdr:spPr>
        <a:xfrm flipV="1">
          <a:off x="14577391" y="7421217"/>
          <a:ext cx="2915479" cy="18056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811695</xdr:colOff>
      <xdr:row>34</xdr:row>
      <xdr:rowOff>82824</xdr:rowOff>
    </xdr:from>
    <xdr:to>
      <xdr:col>21</xdr:col>
      <xdr:colOff>811696</xdr:colOff>
      <xdr:row>36</xdr:row>
      <xdr:rowOff>149085</xdr:rowOff>
    </xdr:to>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17327217" y="7123041"/>
          <a:ext cx="1557131" cy="4472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Same amount spent in</a:t>
          </a:r>
          <a:r>
            <a:rPr lang="en-US" sz="1100" baseline="0"/>
            <a:t> each of the 6 trades.</a:t>
          </a:r>
          <a:endParaRPr lang="en-US" sz="1100"/>
        </a:p>
      </xdr:txBody>
    </xdr:sp>
    <xdr:clientData/>
  </xdr:twoCellAnchor>
  <xdr:twoCellAnchor>
    <xdr:from>
      <xdr:col>20</xdr:col>
      <xdr:colOff>491986</xdr:colOff>
      <xdr:row>36</xdr:row>
      <xdr:rowOff>57979</xdr:rowOff>
    </xdr:from>
    <xdr:to>
      <xdr:col>21</xdr:col>
      <xdr:colOff>1225826</xdr:colOff>
      <xdr:row>41</xdr:row>
      <xdr:rowOff>28162</xdr:rowOff>
    </xdr:to>
    <xdr:cxnSp macro="">
      <xdr:nvCxnSpPr>
        <xdr:cNvPr id="15" name="Straight Connector 14">
          <a:extLst>
            <a:ext uri="{FF2B5EF4-FFF2-40B4-BE49-F238E27FC236}">
              <a16:creationId xmlns:a16="http://schemas.microsoft.com/office/drawing/2014/main" id="{00000000-0008-0000-0E00-00000F000000}"/>
            </a:ext>
          </a:extLst>
        </xdr:cNvPr>
        <xdr:cNvCxnSpPr/>
      </xdr:nvCxnSpPr>
      <xdr:spPr>
        <a:xfrm flipV="1">
          <a:off x="18034551" y="7479196"/>
          <a:ext cx="1263927" cy="9558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488674</xdr:colOff>
      <xdr:row>36</xdr:row>
      <xdr:rowOff>74545</xdr:rowOff>
    </xdr:from>
    <xdr:to>
      <xdr:col>22</xdr:col>
      <xdr:colOff>132521</xdr:colOff>
      <xdr:row>45</xdr:row>
      <xdr:rowOff>0</xdr:rowOff>
    </xdr:to>
    <xdr:cxnSp macro="">
      <xdr:nvCxnSpPr>
        <xdr:cNvPr id="17" name="Straight Connector 16">
          <a:extLst>
            <a:ext uri="{FF2B5EF4-FFF2-40B4-BE49-F238E27FC236}">
              <a16:creationId xmlns:a16="http://schemas.microsoft.com/office/drawing/2014/main" id="{00000000-0008-0000-0E00-000011000000}"/>
            </a:ext>
          </a:extLst>
        </xdr:cNvPr>
        <xdr:cNvCxnSpPr/>
      </xdr:nvCxnSpPr>
      <xdr:spPr>
        <a:xfrm flipV="1">
          <a:off x="18031239" y="7495762"/>
          <a:ext cx="1432891" cy="16730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1080052</xdr:colOff>
      <xdr:row>33</xdr:row>
      <xdr:rowOff>69573</xdr:rowOff>
    </xdr:from>
    <xdr:to>
      <xdr:col>24</xdr:col>
      <xdr:colOff>408214</xdr:colOff>
      <xdr:row>37</xdr:row>
      <xdr:rowOff>68036</xdr:rowOff>
    </xdr:to>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19218373" y="6941180"/>
          <a:ext cx="2158448" cy="774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Price knocked</a:t>
          </a:r>
          <a:r>
            <a:rPr lang="en-US" sz="1100" baseline="0"/>
            <a:t> around instantly in the first (low total shares) case, but reacts more slowly in the second (high total shares) case.</a:t>
          </a:r>
          <a:endParaRPr lang="en-US" sz="1100"/>
        </a:p>
      </xdr:txBody>
    </xdr:sp>
    <xdr:clientData/>
  </xdr:twoCellAnchor>
  <xdr:twoCellAnchor>
    <xdr:from>
      <xdr:col>15</xdr:col>
      <xdr:colOff>952500</xdr:colOff>
      <xdr:row>52</xdr:row>
      <xdr:rowOff>163286</xdr:rowOff>
    </xdr:from>
    <xdr:to>
      <xdr:col>17</xdr:col>
      <xdr:colOff>108857</xdr:colOff>
      <xdr:row>55</xdr:row>
      <xdr:rowOff>54428</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13702393" y="10708822"/>
          <a:ext cx="1170214" cy="476249"/>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530679</xdr:colOff>
      <xdr:row>55</xdr:row>
      <xdr:rowOff>54428</xdr:rowOff>
    </xdr:from>
    <xdr:to>
      <xdr:col>18</xdr:col>
      <xdr:colOff>578303</xdr:colOff>
      <xdr:row>73</xdr:row>
      <xdr:rowOff>122464</xdr:rowOff>
    </xdr:to>
    <xdr:cxnSp macro="">
      <xdr:nvCxnSpPr>
        <xdr:cNvPr id="16" name="Straight Connector 15">
          <a:extLst>
            <a:ext uri="{FF2B5EF4-FFF2-40B4-BE49-F238E27FC236}">
              <a16:creationId xmlns:a16="http://schemas.microsoft.com/office/drawing/2014/main" id="{00000000-0008-0000-0E00-000010000000}"/>
            </a:ext>
          </a:extLst>
        </xdr:cNvPr>
        <xdr:cNvCxnSpPr>
          <a:stCxn id="18" idx="0"/>
          <a:endCxn id="6" idx="2"/>
        </xdr:cNvCxnSpPr>
      </xdr:nvCxnSpPr>
      <xdr:spPr>
        <a:xfrm flipH="1" flipV="1">
          <a:off x="14287500" y="11185071"/>
          <a:ext cx="1830160" cy="351064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272141</xdr:colOff>
      <xdr:row>73</xdr:row>
      <xdr:rowOff>122464</xdr:rowOff>
    </xdr:from>
    <xdr:to>
      <xdr:col>19</xdr:col>
      <xdr:colOff>625929</xdr:colOff>
      <xdr:row>78</xdr:row>
      <xdr:rowOff>122463</xdr:rowOff>
    </xdr:to>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15035891" y="14695714"/>
          <a:ext cx="2163538"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Notice that traders are "unfairly" overcharged, but they are proportionally over-compensated (but only i</a:t>
          </a:r>
          <a:r>
            <a:rPr lang="en-US" sz="1100" baseline="0"/>
            <a:t>f they unwind their trade at similar prices).</a:t>
          </a:r>
          <a:endParaRPr lang="en-US" sz="1100"/>
        </a:p>
      </xdr:txBody>
    </xdr:sp>
    <xdr:clientData/>
  </xdr:twoCellAnchor>
  <xdr:twoCellAnchor>
    <xdr:from>
      <xdr:col>12</xdr:col>
      <xdr:colOff>843643</xdr:colOff>
      <xdr:row>45</xdr:row>
      <xdr:rowOff>136071</xdr:rowOff>
    </xdr:from>
    <xdr:to>
      <xdr:col>15</xdr:col>
      <xdr:colOff>54428</xdr:colOff>
      <xdr:row>48</xdr:row>
      <xdr:rowOff>40820</xdr:rowOff>
    </xdr:to>
    <xdr:sp macro="" textlink="">
      <xdr:nvSpPr>
        <xdr:cNvPr id="22" name="Rectangle 21">
          <a:extLst>
            <a:ext uri="{FF2B5EF4-FFF2-40B4-BE49-F238E27FC236}">
              <a16:creationId xmlns:a16="http://schemas.microsoft.com/office/drawing/2014/main" id="{00000000-0008-0000-0E00-000016000000}"/>
            </a:ext>
          </a:extLst>
        </xdr:cNvPr>
        <xdr:cNvSpPr/>
      </xdr:nvSpPr>
      <xdr:spPr>
        <a:xfrm>
          <a:off x="10681607" y="9348107"/>
          <a:ext cx="2122714" cy="476249"/>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530678</xdr:colOff>
      <xdr:row>48</xdr:row>
      <xdr:rowOff>40821</xdr:rowOff>
    </xdr:from>
    <xdr:to>
      <xdr:col>15</xdr:col>
      <xdr:colOff>666749</xdr:colOff>
      <xdr:row>76</xdr:row>
      <xdr:rowOff>95250</xdr:rowOff>
    </xdr:to>
    <xdr:cxnSp macro="">
      <xdr:nvCxnSpPr>
        <xdr:cNvPr id="23" name="Straight Connector 22">
          <a:extLst>
            <a:ext uri="{FF2B5EF4-FFF2-40B4-BE49-F238E27FC236}">
              <a16:creationId xmlns:a16="http://schemas.microsoft.com/office/drawing/2014/main" id="{00000000-0008-0000-0E00-000017000000}"/>
            </a:ext>
          </a:extLst>
        </xdr:cNvPr>
        <xdr:cNvCxnSpPr/>
      </xdr:nvCxnSpPr>
      <xdr:spPr>
        <a:xfrm flipH="1" flipV="1">
          <a:off x="11266714" y="9824357"/>
          <a:ext cx="2149928" cy="541564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762000</xdr:colOff>
      <xdr:row>76</xdr:row>
      <xdr:rowOff>81644</xdr:rowOff>
    </xdr:from>
    <xdr:to>
      <xdr:col>16</xdr:col>
      <xdr:colOff>802822</xdr:colOff>
      <xdr:row>78</xdr:row>
      <xdr:rowOff>163286</xdr:rowOff>
    </xdr:to>
    <xdr:sp macro="" textlink="">
      <xdr:nvSpPr>
        <xdr:cNvPr id="25" name="TextBox 24">
          <a:extLst>
            <a:ext uri="{FF2B5EF4-FFF2-40B4-BE49-F238E27FC236}">
              <a16:creationId xmlns:a16="http://schemas.microsoft.com/office/drawing/2014/main" id="{00000000-0008-0000-0E00-000019000000}"/>
            </a:ext>
          </a:extLst>
        </xdr:cNvPr>
        <xdr:cNvSpPr txBox="1"/>
      </xdr:nvSpPr>
      <xdr:spPr>
        <a:xfrm>
          <a:off x="12504964" y="15226394"/>
          <a:ext cx="2054679" cy="4626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Multiplying</a:t>
          </a:r>
          <a:r>
            <a:rPr lang="en-US" sz="1100" baseline="0"/>
            <a:t> share quantities by x does not change the price.</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640840</xdr:colOff>
      <xdr:row>60</xdr:row>
      <xdr:rowOff>190222</xdr:rowOff>
    </xdr:from>
    <xdr:to>
      <xdr:col>24</xdr:col>
      <xdr:colOff>486057</xdr:colOff>
      <xdr:row>76</xdr:row>
      <xdr:rowOff>23814</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642240</xdr:colOff>
      <xdr:row>76</xdr:row>
      <xdr:rowOff>173691</xdr:rowOff>
    </xdr:from>
    <xdr:to>
      <xdr:col>24</xdr:col>
      <xdr:colOff>484655</xdr:colOff>
      <xdr:row>94</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73958</xdr:colOff>
      <xdr:row>87</xdr:row>
      <xdr:rowOff>152400</xdr:rowOff>
    </xdr:from>
    <xdr:to>
      <xdr:col>21</xdr:col>
      <xdr:colOff>40340</xdr:colOff>
      <xdr:row>106</xdr:row>
      <xdr:rowOff>85726</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685799</xdr:colOff>
      <xdr:row>87</xdr:row>
      <xdr:rowOff>152400</xdr:rowOff>
    </xdr:from>
    <xdr:to>
      <xdr:col>15</xdr:col>
      <xdr:colOff>733424</xdr:colOff>
      <xdr:row>106</xdr:row>
      <xdr:rowOff>50426</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663465</xdr:colOff>
      <xdr:row>1</xdr:row>
      <xdr:rowOff>116402</xdr:rowOff>
    </xdr:from>
    <xdr:to>
      <xdr:col>26</xdr:col>
      <xdr:colOff>610914</xdr:colOff>
      <xdr:row>15</xdr:row>
      <xdr:rowOff>17774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133644</xdr:colOff>
      <xdr:row>38</xdr:row>
      <xdr:rowOff>130935</xdr:rowOff>
    </xdr:from>
    <xdr:to>
      <xdr:col>37</xdr:col>
      <xdr:colOff>6631</xdr:colOff>
      <xdr:row>39</xdr:row>
      <xdr:rowOff>124365</xdr:rowOff>
    </xdr:to>
    <xdr:sp macro="" textlink="">
      <xdr:nvSpPr>
        <xdr:cNvPr id="3" name="Up-Down Arrow 2">
          <a:extLst>
            <a:ext uri="{FF2B5EF4-FFF2-40B4-BE49-F238E27FC236}">
              <a16:creationId xmlns:a16="http://schemas.microsoft.com/office/drawing/2014/main" id="{00000000-0008-0000-0900-000003000000}"/>
            </a:ext>
          </a:extLst>
        </xdr:cNvPr>
        <xdr:cNvSpPr/>
      </xdr:nvSpPr>
      <xdr:spPr>
        <a:xfrm rot="3486903">
          <a:off x="19057733" y="5998122"/>
          <a:ext cx="229913" cy="6349987"/>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193436</xdr:colOff>
      <xdr:row>1</xdr:row>
      <xdr:rowOff>328908</xdr:rowOff>
    </xdr:from>
    <xdr:to>
      <xdr:col>20</xdr:col>
      <xdr:colOff>723900</xdr:colOff>
      <xdr:row>19</xdr:row>
      <xdr:rowOff>155863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228600</xdr:colOff>
      <xdr:row>1</xdr:row>
      <xdr:rowOff>314325</xdr:rowOff>
    </xdr:from>
    <xdr:to>
      <xdr:col>29</xdr:col>
      <xdr:colOff>466725</xdr:colOff>
      <xdr:row>19</xdr:row>
      <xdr:rowOff>141280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526675</xdr:colOff>
      <xdr:row>3</xdr:row>
      <xdr:rowOff>33616</xdr:rowOff>
    </xdr:from>
    <xdr:to>
      <xdr:col>29</xdr:col>
      <xdr:colOff>380999</xdr:colOff>
      <xdr:row>16</xdr:row>
      <xdr:rowOff>145675</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8568146" y="918881"/>
          <a:ext cx="3541059" cy="2599765"/>
        </a:xfrm>
        <a:prstGeom prst="rect">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381000</xdr:colOff>
      <xdr:row>10</xdr:row>
      <xdr:rowOff>0</xdr:rowOff>
    </xdr:from>
    <xdr:to>
      <xdr:col>30</xdr:col>
      <xdr:colOff>414619</xdr:colOff>
      <xdr:row>11</xdr:row>
      <xdr:rowOff>89647</xdr:rowOff>
    </xdr:to>
    <xdr:cxnSp macro="">
      <xdr:nvCxnSpPr>
        <xdr:cNvPr id="6" name="Straight Arrow Connector 5">
          <a:extLst>
            <a:ext uri="{FF2B5EF4-FFF2-40B4-BE49-F238E27FC236}">
              <a16:creationId xmlns:a16="http://schemas.microsoft.com/office/drawing/2014/main" id="{00000000-0008-0000-0D00-000006000000}"/>
            </a:ext>
          </a:extLst>
        </xdr:cNvPr>
        <xdr:cNvCxnSpPr/>
      </xdr:nvCxnSpPr>
      <xdr:spPr>
        <a:xfrm flipH="1">
          <a:off x="22109206" y="2218765"/>
          <a:ext cx="885266" cy="280147"/>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56030</xdr:colOff>
      <xdr:row>85</xdr:row>
      <xdr:rowOff>29135</xdr:rowOff>
    </xdr:from>
    <xdr:to>
      <xdr:col>19</xdr:col>
      <xdr:colOff>616324</xdr:colOff>
      <xdr:row>106</xdr:row>
      <xdr:rowOff>78440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67236</xdr:colOff>
      <xdr:row>47</xdr:row>
      <xdr:rowOff>123264</xdr:rowOff>
    </xdr:from>
    <xdr:to>
      <xdr:col>22</xdr:col>
      <xdr:colOff>717177</xdr:colOff>
      <xdr:row>56</xdr:row>
      <xdr:rowOff>89647</xdr:rowOff>
    </xdr:to>
    <xdr:cxnSp macro="">
      <xdr:nvCxnSpPr>
        <xdr:cNvPr id="4" name="Straight Connector 3">
          <a:extLst>
            <a:ext uri="{FF2B5EF4-FFF2-40B4-BE49-F238E27FC236}">
              <a16:creationId xmlns:a16="http://schemas.microsoft.com/office/drawing/2014/main" id="{6CFAA3D7-B986-4D3E-A6C0-79980369D347}"/>
            </a:ext>
          </a:extLst>
        </xdr:cNvPr>
        <xdr:cNvCxnSpPr/>
      </xdr:nvCxnSpPr>
      <xdr:spPr>
        <a:xfrm>
          <a:off x="13379824" y="10432676"/>
          <a:ext cx="1411941" cy="1748118"/>
        </a:xfrm>
        <a:prstGeom prst="line">
          <a:avLst/>
        </a:prstGeom>
        <a:ln>
          <a:solidFill>
            <a:schemeClr val="accent6">
              <a:lumMod val="50000"/>
            </a:schemeClr>
          </a:solidFill>
          <a:headEnd type="none" w="med" len="med"/>
          <a:tailEnd type="arrow"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56030</xdr:colOff>
      <xdr:row>51</xdr:row>
      <xdr:rowOff>100852</xdr:rowOff>
    </xdr:from>
    <xdr:to>
      <xdr:col>22</xdr:col>
      <xdr:colOff>649941</xdr:colOff>
      <xdr:row>57</xdr:row>
      <xdr:rowOff>112059</xdr:rowOff>
    </xdr:to>
    <xdr:cxnSp macro="">
      <xdr:nvCxnSpPr>
        <xdr:cNvPr id="5" name="Straight Connector 4">
          <a:extLst>
            <a:ext uri="{FF2B5EF4-FFF2-40B4-BE49-F238E27FC236}">
              <a16:creationId xmlns:a16="http://schemas.microsoft.com/office/drawing/2014/main" id="{D0841FA0-A288-412E-98E7-23F9C3E9C04F}"/>
            </a:ext>
          </a:extLst>
        </xdr:cNvPr>
        <xdr:cNvCxnSpPr/>
      </xdr:nvCxnSpPr>
      <xdr:spPr>
        <a:xfrm>
          <a:off x="13368618" y="11194676"/>
          <a:ext cx="1355911" cy="1210236"/>
        </a:xfrm>
        <a:prstGeom prst="line">
          <a:avLst/>
        </a:prstGeom>
        <a:ln>
          <a:solidFill>
            <a:schemeClr val="accent6">
              <a:lumMod val="50000"/>
            </a:schemeClr>
          </a:solidFill>
          <a:headEnd type="none" w="med" len="med"/>
          <a:tailEnd type="arrow"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67236</xdr:colOff>
      <xdr:row>55</xdr:row>
      <xdr:rowOff>112059</xdr:rowOff>
    </xdr:from>
    <xdr:to>
      <xdr:col>22</xdr:col>
      <xdr:colOff>649941</xdr:colOff>
      <xdr:row>58</xdr:row>
      <xdr:rowOff>78441</xdr:rowOff>
    </xdr:to>
    <xdr:cxnSp macro="">
      <xdr:nvCxnSpPr>
        <xdr:cNvPr id="8" name="Straight Connector 7">
          <a:extLst>
            <a:ext uri="{FF2B5EF4-FFF2-40B4-BE49-F238E27FC236}">
              <a16:creationId xmlns:a16="http://schemas.microsoft.com/office/drawing/2014/main" id="{453EBDFA-3270-423E-A09F-0B181FA799FB}"/>
            </a:ext>
          </a:extLst>
        </xdr:cNvPr>
        <xdr:cNvCxnSpPr/>
      </xdr:nvCxnSpPr>
      <xdr:spPr>
        <a:xfrm>
          <a:off x="13379824" y="12001500"/>
          <a:ext cx="1344705" cy="560294"/>
        </a:xfrm>
        <a:prstGeom prst="line">
          <a:avLst/>
        </a:prstGeom>
        <a:ln>
          <a:solidFill>
            <a:schemeClr val="accent6">
              <a:lumMod val="50000"/>
            </a:schemeClr>
          </a:solidFill>
          <a:headEnd type="none" w="med" len="med"/>
          <a:tailEnd type="arrow"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78441</xdr:colOff>
      <xdr:row>59</xdr:row>
      <xdr:rowOff>89647</xdr:rowOff>
    </xdr:from>
    <xdr:to>
      <xdr:col>22</xdr:col>
      <xdr:colOff>705971</xdr:colOff>
      <xdr:row>59</xdr:row>
      <xdr:rowOff>100853</xdr:rowOff>
    </xdr:to>
    <xdr:cxnSp macro="">
      <xdr:nvCxnSpPr>
        <xdr:cNvPr id="11" name="Straight Connector 10">
          <a:extLst>
            <a:ext uri="{FF2B5EF4-FFF2-40B4-BE49-F238E27FC236}">
              <a16:creationId xmlns:a16="http://schemas.microsoft.com/office/drawing/2014/main" id="{FB785F5F-18F7-43BC-B89A-5D316738458E}"/>
            </a:ext>
          </a:extLst>
        </xdr:cNvPr>
        <xdr:cNvCxnSpPr/>
      </xdr:nvCxnSpPr>
      <xdr:spPr>
        <a:xfrm flipV="1">
          <a:off x="13391029" y="12785912"/>
          <a:ext cx="1389530" cy="11206"/>
        </a:xfrm>
        <a:prstGeom prst="line">
          <a:avLst/>
        </a:prstGeom>
        <a:ln>
          <a:solidFill>
            <a:schemeClr val="accent6">
              <a:lumMod val="50000"/>
            </a:schemeClr>
          </a:solidFill>
          <a:headEnd type="none" w="med" len="med"/>
          <a:tailEnd type="arrow"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21</xdr:col>
      <xdr:colOff>33618</xdr:colOff>
      <xdr:row>60</xdr:row>
      <xdr:rowOff>100853</xdr:rowOff>
    </xdr:from>
    <xdr:to>
      <xdr:col>22</xdr:col>
      <xdr:colOff>694765</xdr:colOff>
      <xdr:row>63</xdr:row>
      <xdr:rowOff>134472</xdr:rowOff>
    </xdr:to>
    <xdr:cxnSp macro="">
      <xdr:nvCxnSpPr>
        <xdr:cNvPr id="14" name="Straight Connector 13">
          <a:extLst>
            <a:ext uri="{FF2B5EF4-FFF2-40B4-BE49-F238E27FC236}">
              <a16:creationId xmlns:a16="http://schemas.microsoft.com/office/drawing/2014/main" id="{E59949D5-6FDF-4F27-9A72-618A3DF5F0C5}"/>
            </a:ext>
          </a:extLst>
        </xdr:cNvPr>
        <xdr:cNvCxnSpPr/>
      </xdr:nvCxnSpPr>
      <xdr:spPr>
        <a:xfrm flipV="1">
          <a:off x="13346206" y="12998824"/>
          <a:ext cx="1423147" cy="638736"/>
        </a:xfrm>
        <a:prstGeom prst="line">
          <a:avLst/>
        </a:prstGeom>
        <a:ln>
          <a:solidFill>
            <a:schemeClr val="accent6">
              <a:lumMod val="50000"/>
            </a:schemeClr>
          </a:solidFill>
          <a:headEnd type="none" w="med" len="med"/>
          <a:tailEnd type="arrow" w="med" len="med"/>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438150</xdr:colOff>
      <xdr:row>25</xdr:row>
      <xdr:rowOff>114300</xdr:rowOff>
    </xdr:from>
    <xdr:to>
      <xdr:col>18</xdr:col>
      <xdr:colOff>285750</xdr:colOff>
      <xdr:row>50</xdr:row>
      <xdr:rowOff>104775</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557893</xdr:colOff>
      <xdr:row>27</xdr:row>
      <xdr:rowOff>220434</xdr:rowOff>
    </xdr:from>
    <xdr:to>
      <xdr:col>32</xdr:col>
      <xdr:colOff>285751</xdr:colOff>
      <xdr:row>42</xdr:row>
      <xdr:rowOff>99331</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56033</xdr:colOff>
      <xdr:row>29</xdr:row>
      <xdr:rowOff>190500</xdr:rowOff>
    </xdr:from>
    <xdr:to>
      <xdr:col>3</xdr:col>
      <xdr:colOff>112059</xdr:colOff>
      <xdr:row>38</xdr:row>
      <xdr:rowOff>145676</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rot="16200000">
          <a:off x="616326" y="4415118"/>
          <a:ext cx="2073088" cy="773203"/>
        </a:xfrm>
        <a:prstGeom prst="lef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n-US" sz="2400"/>
            <a:t>Flow of Time</a:t>
          </a:r>
        </a:p>
      </xdr:txBody>
    </xdr:sp>
    <xdr:clientData/>
  </xdr:twoCellAnchor>
  <xdr:twoCellAnchor>
    <xdr:from>
      <xdr:col>9</xdr:col>
      <xdr:colOff>1467971</xdr:colOff>
      <xdr:row>25</xdr:row>
      <xdr:rowOff>201649</xdr:rowOff>
    </xdr:from>
    <xdr:to>
      <xdr:col>20</xdr:col>
      <xdr:colOff>369795</xdr:colOff>
      <xdr:row>27</xdr:row>
      <xdr:rowOff>134470</xdr:rowOff>
    </xdr:to>
    <xdr:sp macro="" textlink="">
      <xdr:nvSpPr>
        <xdr:cNvPr id="2" name="Freeform: Shape 1">
          <a:extLst>
            <a:ext uri="{FF2B5EF4-FFF2-40B4-BE49-F238E27FC236}">
              <a16:creationId xmlns:a16="http://schemas.microsoft.com/office/drawing/2014/main" id="{FDA2582C-C5C4-4924-99CC-B3181FCF3AEF}"/>
            </a:ext>
          </a:extLst>
        </xdr:cNvPr>
        <xdr:cNvSpPr/>
      </xdr:nvSpPr>
      <xdr:spPr>
        <a:xfrm>
          <a:off x="8393206" y="5266708"/>
          <a:ext cx="3462618" cy="459497"/>
        </a:xfrm>
        <a:custGeom>
          <a:avLst/>
          <a:gdLst>
            <a:gd name="connsiteX0" fmla="*/ 0 w 3585883"/>
            <a:gd name="connsiteY0" fmla="*/ 381056 h 381056"/>
            <a:gd name="connsiteX1" fmla="*/ 2812677 w 3585883"/>
            <a:gd name="connsiteY1" fmla="*/ 56 h 381056"/>
            <a:gd name="connsiteX2" fmla="*/ 3585883 w 3585883"/>
            <a:gd name="connsiteY2" fmla="*/ 358644 h 381056"/>
          </a:gdLst>
          <a:ahLst/>
          <a:cxnLst>
            <a:cxn ang="0">
              <a:pos x="connsiteX0" y="connsiteY0"/>
            </a:cxn>
            <a:cxn ang="0">
              <a:pos x="connsiteX1" y="connsiteY1"/>
            </a:cxn>
            <a:cxn ang="0">
              <a:pos x="connsiteX2" y="connsiteY2"/>
            </a:cxn>
          </a:cxnLst>
          <a:rect l="l" t="t" r="r" b="b"/>
          <a:pathLst>
            <a:path w="3585883" h="381056">
              <a:moveTo>
                <a:pt x="0" y="381056"/>
              </a:moveTo>
              <a:cubicBezTo>
                <a:pt x="1107515" y="192423"/>
                <a:pt x="2215030" y="3791"/>
                <a:pt x="2812677" y="56"/>
              </a:cubicBezTo>
              <a:cubicBezTo>
                <a:pt x="3410324" y="-3679"/>
                <a:pt x="3498103" y="177482"/>
                <a:pt x="3585883" y="358644"/>
              </a:cubicBezTo>
            </a:path>
          </a:pathLst>
        </a:custGeom>
        <a:noFill/>
        <a:ln w="38100">
          <a:solidFill>
            <a:schemeClr val="accent6">
              <a:lumMod val="50000"/>
            </a:schemeClr>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1130310</xdr:colOff>
      <xdr:row>34</xdr:row>
      <xdr:rowOff>44824</xdr:rowOff>
    </xdr:from>
    <xdr:to>
      <xdr:col>21</xdr:col>
      <xdr:colOff>517158</xdr:colOff>
      <xdr:row>37</xdr:row>
      <xdr:rowOff>137930</xdr:rowOff>
    </xdr:to>
    <xdr:sp macro="" textlink="">
      <xdr:nvSpPr>
        <xdr:cNvPr id="7" name="Freeform: Shape 6">
          <a:extLst>
            <a:ext uri="{FF2B5EF4-FFF2-40B4-BE49-F238E27FC236}">
              <a16:creationId xmlns:a16="http://schemas.microsoft.com/office/drawing/2014/main" id="{28CE041D-DF55-4379-B388-ECEC50B68769}"/>
            </a:ext>
          </a:extLst>
        </xdr:cNvPr>
        <xdr:cNvSpPr/>
      </xdr:nvSpPr>
      <xdr:spPr>
        <a:xfrm>
          <a:off x="8055545" y="7272618"/>
          <a:ext cx="4653613" cy="799077"/>
        </a:xfrm>
        <a:custGeom>
          <a:avLst/>
          <a:gdLst>
            <a:gd name="connsiteX0" fmla="*/ 1484 w 4653613"/>
            <a:gd name="connsiteY0" fmla="*/ 0 h 799077"/>
            <a:gd name="connsiteX1" fmla="*/ 304043 w 4653613"/>
            <a:gd name="connsiteY1" fmla="*/ 571500 h 799077"/>
            <a:gd name="connsiteX2" fmla="*/ 1884073 w 4653613"/>
            <a:gd name="connsiteY2" fmla="*/ 784411 h 799077"/>
            <a:gd name="connsiteX3" fmla="*/ 4270926 w 4653613"/>
            <a:gd name="connsiteY3" fmla="*/ 694764 h 799077"/>
            <a:gd name="connsiteX4" fmla="*/ 4618308 w 4653613"/>
            <a:gd name="connsiteY4" fmla="*/ 11206 h 79907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53613" h="799077">
              <a:moveTo>
                <a:pt x="1484" y="0"/>
              </a:moveTo>
              <a:cubicBezTo>
                <a:pt x="-4119" y="220382"/>
                <a:pt x="-9722" y="440765"/>
                <a:pt x="304043" y="571500"/>
              </a:cubicBezTo>
              <a:cubicBezTo>
                <a:pt x="617808" y="702235"/>
                <a:pt x="1222926" y="763867"/>
                <a:pt x="1884073" y="784411"/>
              </a:cubicBezTo>
              <a:cubicBezTo>
                <a:pt x="2545220" y="804955"/>
                <a:pt x="3815220" y="823632"/>
                <a:pt x="4270926" y="694764"/>
              </a:cubicBezTo>
              <a:cubicBezTo>
                <a:pt x="4726632" y="565897"/>
                <a:pt x="4672470" y="288551"/>
                <a:pt x="4618308" y="11206"/>
              </a:cubicBezTo>
            </a:path>
          </a:pathLst>
        </a:custGeom>
        <a:noFill/>
        <a:ln w="28575">
          <a:solidFill>
            <a:schemeClr val="accent6">
              <a:lumMod val="50000"/>
            </a:schemeClr>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571500</xdr:colOff>
      <xdr:row>32</xdr:row>
      <xdr:rowOff>11207</xdr:rowOff>
    </xdr:from>
    <xdr:to>
      <xdr:col>6</xdr:col>
      <xdr:colOff>89647</xdr:colOff>
      <xdr:row>34</xdr:row>
      <xdr:rowOff>56030</xdr:rowOff>
    </xdr:to>
    <xdr:sp macro="" textlink="">
      <xdr:nvSpPr>
        <xdr:cNvPr id="8" name="Rectangle: Rounded Corners 7">
          <a:extLst>
            <a:ext uri="{FF2B5EF4-FFF2-40B4-BE49-F238E27FC236}">
              <a16:creationId xmlns:a16="http://schemas.microsoft.com/office/drawing/2014/main" id="{E490EC5A-72CF-47D8-9CF8-5F9FF8630EAA}"/>
            </a:ext>
          </a:extLst>
        </xdr:cNvPr>
        <xdr:cNvSpPr/>
      </xdr:nvSpPr>
      <xdr:spPr>
        <a:xfrm>
          <a:off x="3944471" y="6768354"/>
          <a:ext cx="358588" cy="515470"/>
        </a:xfrm>
        <a:prstGeom prst="roundRect">
          <a:avLst/>
        </a:prstGeom>
        <a:noFill/>
        <a:ln w="381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190500</xdr:colOff>
      <xdr:row>30</xdr:row>
      <xdr:rowOff>90274</xdr:rowOff>
    </xdr:from>
    <xdr:to>
      <xdr:col>18</xdr:col>
      <xdr:colOff>326924</xdr:colOff>
      <xdr:row>33</xdr:row>
      <xdr:rowOff>33617</xdr:rowOff>
    </xdr:to>
    <xdr:sp macro="" textlink="">
      <xdr:nvSpPr>
        <xdr:cNvPr id="10" name="Freeform: Shape 9">
          <a:extLst>
            <a:ext uri="{FF2B5EF4-FFF2-40B4-BE49-F238E27FC236}">
              <a16:creationId xmlns:a16="http://schemas.microsoft.com/office/drawing/2014/main" id="{1EA63A6E-F267-48DD-AC53-BCDF8B917051}"/>
            </a:ext>
          </a:extLst>
        </xdr:cNvPr>
        <xdr:cNvSpPr/>
      </xdr:nvSpPr>
      <xdr:spPr>
        <a:xfrm>
          <a:off x="4247029" y="6376774"/>
          <a:ext cx="6153983" cy="649314"/>
        </a:xfrm>
        <a:custGeom>
          <a:avLst/>
          <a:gdLst>
            <a:gd name="connsiteX0" fmla="*/ 0 w 6153983"/>
            <a:gd name="connsiteY0" fmla="*/ 638108 h 649314"/>
            <a:gd name="connsiteX1" fmla="*/ 3608294 w 6153983"/>
            <a:gd name="connsiteY1" fmla="*/ 189873 h 649314"/>
            <a:gd name="connsiteX2" fmla="*/ 5916706 w 6153983"/>
            <a:gd name="connsiteY2" fmla="*/ 21785 h 649314"/>
            <a:gd name="connsiteX3" fmla="*/ 5961529 w 6153983"/>
            <a:gd name="connsiteY3" fmla="*/ 649314 h 649314"/>
          </a:gdLst>
          <a:ahLst/>
          <a:cxnLst>
            <a:cxn ang="0">
              <a:pos x="connsiteX0" y="connsiteY0"/>
            </a:cxn>
            <a:cxn ang="0">
              <a:pos x="connsiteX1" y="connsiteY1"/>
            </a:cxn>
            <a:cxn ang="0">
              <a:pos x="connsiteX2" y="connsiteY2"/>
            </a:cxn>
            <a:cxn ang="0">
              <a:pos x="connsiteX3" y="connsiteY3"/>
            </a:cxn>
          </a:cxnLst>
          <a:rect l="l" t="t" r="r" b="b"/>
          <a:pathLst>
            <a:path w="6153983" h="649314">
              <a:moveTo>
                <a:pt x="0" y="638108"/>
              </a:moveTo>
              <a:lnTo>
                <a:pt x="3608294" y="189873"/>
              </a:lnTo>
              <a:cubicBezTo>
                <a:pt x="4594412" y="87153"/>
                <a:pt x="5524500" y="-54788"/>
                <a:pt x="5916706" y="21785"/>
              </a:cubicBezTo>
              <a:cubicBezTo>
                <a:pt x="6308912" y="98358"/>
                <a:pt x="6135220" y="373836"/>
                <a:pt x="5961529" y="649314"/>
              </a:cubicBezTo>
            </a:path>
          </a:pathLst>
        </a:cu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1030941</xdr:colOff>
      <xdr:row>32</xdr:row>
      <xdr:rowOff>212911</xdr:rowOff>
    </xdr:from>
    <xdr:to>
      <xdr:col>20</xdr:col>
      <xdr:colOff>44824</xdr:colOff>
      <xdr:row>34</xdr:row>
      <xdr:rowOff>33617</xdr:rowOff>
    </xdr:to>
    <xdr:sp macro="" textlink="">
      <xdr:nvSpPr>
        <xdr:cNvPr id="11" name="Rectangle: Rounded Corners 10">
          <a:extLst>
            <a:ext uri="{FF2B5EF4-FFF2-40B4-BE49-F238E27FC236}">
              <a16:creationId xmlns:a16="http://schemas.microsoft.com/office/drawing/2014/main" id="{D5F83F85-6A04-4453-9974-6CED17C9C80F}"/>
            </a:ext>
          </a:extLst>
        </xdr:cNvPr>
        <xdr:cNvSpPr/>
      </xdr:nvSpPr>
      <xdr:spPr>
        <a:xfrm>
          <a:off x="9435353" y="6970058"/>
          <a:ext cx="2095500" cy="291353"/>
        </a:xfrm>
        <a:prstGeom prst="roundRect">
          <a:avLst/>
        </a:prstGeom>
        <a:noFill/>
        <a:ln w="381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679077</xdr:colOff>
      <xdr:row>26</xdr:row>
      <xdr:rowOff>129987</xdr:rowOff>
    </xdr:from>
    <xdr:to>
      <xdr:col>10</xdr:col>
      <xdr:colOff>56029</xdr:colOff>
      <xdr:row>28</xdr:row>
      <xdr:rowOff>78441</xdr:rowOff>
    </xdr:to>
    <xdr:sp macro="" textlink="">
      <xdr:nvSpPr>
        <xdr:cNvPr id="12" name="Rectangle: Rounded Corners 11">
          <a:extLst>
            <a:ext uri="{FF2B5EF4-FFF2-40B4-BE49-F238E27FC236}">
              <a16:creationId xmlns:a16="http://schemas.microsoft.com/office/drawing/2014/main" id="{E332AB3C-26F2-4162-89C6-250A5A46E7CF}"/>
            </a:ext>
          </a:extLst>
        </xdr:cNvPr>
        <xdr:cNvSpPr/>
      </xdr:nvSpPr>
      <xdr:spPr>
        <a:xfrm>
          <a:off x="7604312" y="5508811"/>
          <a:ext cx="856129" cy="385483"/>
        </a:xfrm>
        <a:prstGeom prst="roundRect">
          <a:avLst/>
        </a:prstGeom>
        <a:no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170330</xdr:colOff>
      <xdr:row>27</xdr:row>
      <xdr:rowOff>2241</xdr:rowOff>
    </xdr:from>
    <xdr:to>
      <xdr:col>21</xdr:col>
      <xdr:colOff>11206</xdr:colOff>
      <xdr:row>28</xdr:row>
      <xdr:rowOff>44824</xdr:rowOff>
    </xdr:to>
    <xdr:sp macro="" textlink="">
      <xdr:nvSpPr>
        <xdr:cNvPr id="13" name="Rectangle: Rounded Corners 12">
          <a:extLst>
            <a:ext uri="{FF2B5EF4-FFF2-40B4-BE49-F238E27FC236}">
              <a16:creationId xmlns:a16="http://schemas.microsoft.com/office/drawing/2014/main" id="{2384BBAC-98D5-4458-A80E-9F32830422E5}"/>
            </a:ext>
          </a:extLst>
        </xdr:cNvPr>
        <xdr:cNvSpPr/>
      </xdr:nvSpPr>
      <xdr:spPr>
        <a:xfrm>
          <a:off x="11656359" y="5593976"/>
          <a:ext cx="546847" cy="266701"/>
        </a:xfrm>
        <a:prstGeom prst="roundRect">
          <a:avLst/>
        </a:prstGeom>
        <a:no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887508</xdr:colOff>
      <xdr:row>33</xdr:row>
      <xdr:rowOff>2240</xdr:rowOff>
    </xdr:from>
    <xdr:to>
      <xdr:col>10</xdr:col>
      <xdr:colOff>11207</xdr:colOff>
      <xdr:row>34</xdr:row>
      <xdr:rowOff>22412</xdr:rowOff>
    </xdr:to>
    <xdr:sp macro="" textlink="">
      <xdr:nvSpPr>
        <xdr:cNvPr id="14" name="Rectangle: Rounded Corners 13">
          <a:extLst>
            <a:ext uri="{FF2B5EF4-FFF2-40B4-BE49-F238E27FC236}">
              <a16:creationId xmlns:a16="http://schemas.microsoft.com/office/drawing/2014/main" id="{2A48E35B-900E-4263-ABE7-3089CED3EEA2}"/>
            </a:ext>
          </a:extLst>
        </xdr:cNvPr>
        <xdr:cNvSpPr/>
      </xdr:nvSpPr>
      <xdr:spPr>
        <a:xfrm>
          <a:off x="7812743" y="6994711"/>
          <a:ext cx="602876" cy="255495"/>
        </a:xfrm>
        <a:prstGeom prst="roundRect">
          <a:avLst/>
        </a:prstGeom>
        <a:no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132230</xdr:colOff>
      <xdr:row>32</xdr:row>
      <xdr:rowOff>221875</xdr:rowOff>
    </xdr:from>
    <xdr:to>
      <xdr:col>22</xdr:col>
      <xdr:colOff>235323</xdr:colOff>
      <xdr:row>34</xdr:row>
      <xdr:rowOff>33617</xdr:rowOff>
    </xdr:to>
    <xdr:sp macro="" textlink="">
      <xdr:nvSpPr>
        <xdr:cNvPr id="15" name="Rectangle: Rounded Corners 14">
          <a:extLst>
            <a:ext uri="{FF2B5EF4-FFF2-40B4-BE49-F238E27FC236}">
              <a16:creationId xmlns:a16="http://schemas.microsoft.com/office/drawing/2014/main" id="{DF9F6E81-8CF9-4694-ABE1-E8898F0432B9}"/>
            </a:ext>
          </a:extLst>
        </xdr:cNvPr>
        <xdr:cNvSpPr/>
      </xdr:nvSpPr>
      <xdr:spPr>
        <a:xfrm>
          <a:off x="12324230" y="6979022"/>
          <a:ext cx="708211" cy="282389"/>
        </a:xfrm>
        <a:prstGeom prst="roundRect">
          <a:avLst/>
        </a:prstGeom>
        <a:no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33616</xdr:colOff>
      <xdr:row>44</xdr:row>
      <xdr:rowOff>78441</xdr:rowOff>
    </xdr:from>
    <xdr:to>
      <xdr:col>6</xdr:col>
      <xdr:colOff>571499</xdr:colOff>
      <xdr:row>47</xdr:row>
      <xdr:rowOff>56029</xdr:rowOff>
    </xdr:to>
    <xdr:sp macro="" textlink="">
      <xdr:nvSpPr>
        <xdr:cNvPr id="16" name="Freeform: Shape 15">
          <a:extLst>
            <a:ext uri="{FF2B5EF4-FFF2-40B4-BE49-F238E27FC236}">
              <a16:creationId xmlns:a16="http://schemas.microsoft.com/office/drawing/2014/main" id="{26DA0D3D-BC96-4EAC-A54F-736BABC540C3}"/>
            </a:ext>
          </a:extLst>
        </xdr:cNvPr>
        <xdr:cNvSpPr/>
      </xdr:nvSpPr>
      <xdr:spPr>
        <a:xfrm>
          <a:off x="3406587" y="9693088"/>
          <a:ext cx="1378324" cy="694765"/>
        </a:xfrm>
        <a:custGeom>
          <a:avLst/>
          <a:gdLst>
            <a:gd name="connsiteX0" fmla="*/ 0 w 1378324"/>
            <a:gd name="connsiteY0" fmla="*/ 0 h 1098284"/>
            <a:gd name="connsiteX1" fmla="*/ 918883 w 1378324"/>
            <a:gd name="connsiteY1" fmla="*/ 1098177 h 1098284"/>
            <a:gd name="connsiteX2" fmla="*/ 1378324 w 1378324"/>
            <a:gd name="connsiteY2" fmla="*/ 67235 h 1098284"/>
          </a:gdLst>
          <a:ahLst/>
          <a:cxnLst>
            <a:cxn ang="0">
              <a:pos x="connsiteX0" y="connsiteY0"/>
            </a:cxn>
            <a:cxn ang="0">
              <a:pos x="connsiteX1" y="connsiteY1"/>
            </a:cxn>
            <a:cxn ang="0">
              <a:pos x="connsiteX2" y="connsiteY2"/>
            </a:cxn>
          </a:cxnLst>
          <a:rect l="l" t="t" r="r" b="b"/>
          <a:pathLst>
            <a:path w="1378324" h="1098284">
              <a:moveTo>
                <a:pt x="0" y="0"/>
              </a:moveTo>
              <a:cubicBezTo>
                <a:pt x="344581" y="543485"/>
                <a:pt x="689162" y="1086971"/>
                <a:pt x="918883" y="1098177"/>
              </a:cubicBezTo>
              <a:cubicBezTo>
                <a:pt x="1148604" y="1109383"/>
                <a:pt x="1301751" y="237191"/>
                <a:pt x="1378324" y="67235"/>
              </a:cubicBezTo>
            </a:path>
          </a:pathLst>
        </a:custGeom>
        <a:noFill/>
        <a:ln w="19050">
          <a:solidFill>
            <a:schemeClr val="accent6">
              <a:lumMod val="75000"/>
            </a:schemeClr>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694765</xdr:colOff>
      <xdr:row>44</xdr:row>
      <xdr:rowOff>67235</xdr:rowOff>
    </xdr:from>
    <xdr:to>
      <xdr:col>8</xdr:col>
      <xdr:colOff>672353</xdr:colOff>
      <xdr:row>45</xdr:row>
      <xdr:rowOff>115053</xdr:rowOff>
    </xdr:to>
    <xdr:sp macro="" textlink="">
      <xdr:nvSpPr>
        <xdr:cNvPr id="3" name="Freeform: Shape 2">
          <a:extLst>
            <a:ext uri="{FF2B5EF4-FFF2-40B4-BE49-F238E27FC236}">
              <a16:creationId xmlns:a16="http://schemas.microsoft.com/office/drawing/2014/main" id="{272AA998-A1BB-4C90-8320-BC57CC9BE4BE}"/>
            </a:ext>
          </a:extLst>
        </xdr:cNvPr>
        <xdr:cNvSpPr/>
      </xdr:nvSpPr>
      <xdr:spPr>
        <a:xfrm>
          <a:off x="5165912" y="9681882"/>
          <a:ext cx="1658470" cy="283142"/>
        </a:xfrm>
        <a:custGeom>
          <a:avLst/>
          <a:gdLst>
            <a:gd name="connsiteX0" fmla="*/ 0 w 1658470"/>
            <a:gd name="connsiteY0" fmla="*/ 0 h 283142"/>
            <a:gd name="connsiteX1" fmla="*/ 358588 w 1658470"/>
            <a:gd name="connsiteY1" fmla="*/ 280147 h 283142"/>
            <a:gd name="connsiteX2" fmla="*/ 1658470 w 1658470"/>
            <a:gd name="connsiteY2" fmla="*/ 123265 h 283142"/>
          </a:gdLst>
          <a:ahLst/>
          <a:cxnLst>
            <a:cxn ang="0">
              <a:pos x="connsiteX0" y="connsiteY0"/>
            </a:cxn>
            <a:cxn ang="0">
              <a:pos x="connsiteX1" y="connsiteY1"/>
            </a:cxn>
            <a:cxn ang="0">
              <a:pos x="connsiteX2" y="connsiteY2"/>
            </a:cxn>
          </a:cxnLst>
          <a:rect l="l" t="t" r="r" b="b"/>
          <a:pathLst>
            <a:path w="1658470" h="283142">
              <a:moveTo>
                <a:pt x="0" y="0"/>
              </a:moveTo>
              <a:cubicBezTo>
                <a:pt x="41088" y="129801"/>
                <a:pt x="82176" y="259603"/>
                <a:pt x="358588" y="280147"/>
              </a:cubicBezTo>
              <a:cubicBezTo>
                <a:pt x="635000" y="300691"/>
                <a:pt x="1146735" y="211978"/>
                <a:pt x="1658470" y="123265"/>
              </a:cubicBezTo>
            </a:path>
          </a:pathLst>
        </a:custGeom>
        <a:noFill/>
        <a:ln>
          <a:solidFill>
            <a:schemeClr val="accent6">
              <a:lumMod val="75000"/>
            </a:schemeClr>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571500</xdr:colOff>
      <xdr:row>43</xdr:row>
      <xdr:rowOff>33619</xdr:rowOff>
    </xdr:from>
    <xdr:to>
      <xdr:col>5</xdr:col>
      <xdr:colOff>89647</xdr:colOff>
      <xdr:row>45</xdr:row>
      <xdr:rowOff>56030</xdr:rowOff>
    </xdr:to>
    <xdr:sp macro="" textlink="">
      <xdr:nvSpPr>
        <xdr:cNvPr id="18" name="Rectangle: Rounded Corners 17">
          <a:extLst>
            <a:ext uri="{FF2B5EF4-FFF2-40B4-BE49-F238E27FC236}">
              <a16:creationId xmlns:a16="http://schemas.microsoft.com/office/drawing/2014/main" id="{74DD1B0D-1F88-42AB-BE0E-A30A03043A39}"/>
            </a:ext>
          </a:extLst>
        </xdr:cNvPr>
        <xdr:cNvSpPr/>
      </xdr:nvSpPr>
      <xdr:spPr>
        <a:xfrm>
          <a:off x="3361765" y="9390531"/>
          <a:ext cx="358588" cy="515470"/>
        </a:xfrm>
        <a:prstGeom prst="roundRect">
          <a:avLst/>
        </a:prstGeom>
        <a:noFill/>
        <a:ln w="381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690282</xdr:colOff>
      <xdr:row>43</xdr:row>
      <xdr:rowOff>230842</xdr:rowOff>
    </xdr:from>
    <xdr:to>
      <xdr:col>9</xdr:col>
      <xdr:colOff>112058</xdr:colOff>
      <xdr:row>45</xdr:row>
      <xdr:rowOff>67234</xdr:rowOff>
    </xdr:to>
    <xdr:sp macro="" textlink="">
      <xdr:nvSpPr>
        <xdr:cNvPr id="19" name="Rectangle: Rounded Corners 18">
          <a:extLst>
            <a:ext uri="{FF2B5EF4-FFF2-40B4-BE49-F238E27FC236}">
              <a16:creationId xmlns:a16="http://schemas.microsoft.com/office/drawing/2014/main" id="{122F6E71-D40B-419C-A47B-CDA6245F7F93}"/>
            </a:ext>
          </a:extLst>
        </xdr:cNvPr>
        <xdr:cNvSpPr/>
      </xdr:nvSpPr>
      <xdr:spPr>
        <a:xfrm>
          <a:off x="6842311" y="9587754"/>
          <a:ext cx="699247" cy="329451"/>
        </a:xfrm>
        <a:prstGeom prst="roundRect">
          <a:avLst/>
        </a:prstGeom>
        <a:noFill/>
        <a:ln w="381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1187823</xdr:colOff>
      <xdr:row>11</xdr:row>
      <xdr:rowOff>44822</xdr:rowOff>
    </xdr:from>
    <xdr:to>
      <xdr:col>10</xdr:col>
      <xdr:colOff>280146</xdr:colOff>
      <xdr:row>17</xdr:row>
      <xdr:rowOff>81585</xdr:rowOff>
    </xdr:to>
    <xdr:pic>
      <xdr:nvPicPr>
        <xdr:cNvPr id="20" name="Picture 19">
          <a:extLst>
            <a:ext uri="{FF2B5EF4-FFF2-40B4-BE49-F238E27FC236}">
              <a16:creationId xmlns:a16="http://schemas.microsoft.com/office/drawing/2014/main" id="{75EBE96D-4585-42EC-9134-E85A495EB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9852" y="2409263"/>
          <a:ext cx="1848970" cy="119096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549088</xdr:colOff>
      <xdr:row>13</xdr:row>
      <xdr:rowOff>33619</xdr:rowOff>
    </xdr:from>
    <xdr:to>
      <xdr:col>9</xdr:col>
      <xdr:colOff>123265</xdr:colOff>
      <xdr:row>14</xdr:row>
      <xdr:rowOff>78441</xdr:rowOff>
    </xdr:to>
    <xdr:cxnSp macro="">
      <xdr:nvCxnSpPr>
        <xdr:cNvPr id="9" name="Straight Arrow Connector 8">
          <a:extLst>
            <a:ext uri="{FF2B5EF4-FFF2-40B4-BE49-F238E27FC236}">
              <a16:creationId xmlns:a16="http://schemas.microsoft.com/office/drawing/2014/main" id="{E49B1DBC-A8D3-4458-9AD9-1BACF79B91BF}"/>
            </a:ext>
          </a:extLst>
        </xdr:cNvPr>
        <xdr:cNvCxnSpPr/>
      </xdr:nvCxnSpPr>
      <xdr:spPr>
        <a:xfrm flipV="1">
          <a:off x="2734235" y="2779060"/>
          <a:ext cx="4818530" cy="2465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638735</xdr:colOff>
      <xdr:row>7</xdr:row>
      <xdr:rowOff>123265</xdr:rowOff>
    </xdr:from>
    <xdr:to>
      <xdr:col>9</xdr:col>
      <xdr:colOff>627529</xdr:colOff>
      <xdr:row>11</xdr:row>
      <xdr:rowOff>78441</xdr:rowOff>
    </xdr:to>
    <xdr:cxnSp macro="">
      <xdr:nvCxnSpPr>
        <xdr:cNvPr id="22" name="Straight Arrow Connector 21">
          <a:extLst>
            <a:ext uri="{FF2B5EF4-FFF2-40B4-BE49-F238E27FC236}">
              <a16:creationId xmlns:a16="http://schemas.microsoft.com/office/drawing/2014/main" id="{260655AF-0403-4749-BDAF-2AF1E1967FB2}"/>
            </a:ext>
          </a:extLst>
        </xdr:cNvPr>
        <xdr:cNvCxnSpPr/>
      </xdr:nvCxnSpPr>
      <xdr:spPr>
        <a:xfrm>
          <a:off x="1243853" y="1725706"/>
          <a:ext cx="6813176" cy="71717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515471</xdr:colOff>
      <xdr:row>14</xdr:row>
      <xdr:rowOff>1</xdr:rowOff>
    </xdr:from>
    <xdr:to>
      <xdr:col>17</xdr:col>
      <xdr:colOff>593911</xdr:colOff>
      <xdr:row>15</xdr:row>
      <xdr:rowOff>67235</xdr:rowOff>
    </xdr:to>
    <xdr:cxnSp macro="">
      <xdr:nvCxnSpPr>
        <xdr:cNvPr id="27" name="Straight Connector 26">
          <a:extLst>
            <a:ext uri="{FF2B5EF4-FFF2-40B4-BE49-F238E27FC236}">
              <a16:creationId xmlns:a16="http://schemas.microsoft.com/office/drawing/2014/main" id="{4A2E315E-B3C0-4134-8036-303A356BF632}"/>
            </a:ext>
          </a:extLst>
        </xdr:cNvPr>
        <xdr:cNvCxnSpPr/>
      </xdr:nvCxnSpPr>
      <xdr:spPr>
        <a:xfrm>
          <a:off x="9424147" y="2947148"/>
          <a:ext cx="1120588" cy="2577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11206</xdr:colOff>
      <xdr:row>8</xdr:row>
      <xdr:rowOff>189598</xdr:rowOff>
    </xdr:from>
    <xdr:to>
      <xdr:col>25</xdr:col>
      <xdr:colOff>190500</xdr:colOff>
      <xdr:row>31</xdr:row>
      <xdr:rowOff>179294</xdr:rowOff>
    </xdr:to>
    <xdr:sp macro="" textlink="">
      <xdr:nvSpPr>
        <xdr:cNvPr id="5" name="Freeform: Shape 4">
          <a:extLst>
            <a:ext uri="{FF2B5EF4-FFF2-40B4-BE49-F238E27FC236}">
              <a16:creationId xmlns:a16="http://schemas.microsoft.com/office/drawing/2014/main" id="{5444F25B-062F-4F7C-9DEA-627AB84E4284}"/>
            </a:ext>
          </a:extLst>
        </xdr:cNvPr>
        <xdr:cNvSpPr/>
      </xdr:nvSpPr>
      <xdr:spPr>
        <a:xfrm>
          <a:off x="5322794" y="1982539"/>
          <a:ext cx="10118912" cy="4718579"/>
        </a:xfrm>
        <a:custGeom>
          <a:avLst/>
          <a:gdLst>
            <a:gd name="connsiteX0" fmla="*/ 10118912 w 10118912"/>
            <a:gd name="connsiteY0" fmla="*/ 4718579 h 4718579"/>
            <a:gd name="connsiteX1" fmla="*/ 6779559 w 10118912"/>
            <a:gd name="connsiteY1" fmla="*/ 902 h 4718579"/>
            <a:gd name="connsiteX2" fmla="*/ 0 w 10118912"/>
            <a:gd name="connsiteY2" fmla="*/ 4404814 h 4718579"/>
          </a:gdLst>
          <a:ahLst/>
          <a:cxnLst>
            <a:cxn ang="0">
              <a:pos x="connsiteX0" y="connsiteY0"/>
            </a:cxn>
            <a:cxn ang="0">
              <a:pos x="connsiteX1" y="connsiteY1"/>
            </a:cxn>
            <a:cxn ang="0">
              <a:pos x="connsiteX2" y="connsiteY2"/>
            </a:cxn>
          </a:cxnLst>
          <a:rect l="l" t="t" r="r" b="b"/>
          <a:pathLst>
            <a:path w="10118912" h="4718579">
              <a:moveTo>
                <a:pt x="10118912" y="4718579"/>
              </a:moveTo>
              <a:cubicBezTo>
                <a:pt x="9292478" y="2385887"/>
                <a:pt x="8466044" y="53196"/>
                <a:pt x="6779559" y="902"/>
              </a:cubicBezTo>
              <a:cubicBezTo>
                <a:pt x="5093074" y="-51392"/>
                <a:pt x="2546537" y="2176711"/>
                <a:pt x="0" y="4404814"/>
              </a:cubicBezTo>
            </a:path>
          </a:pathLst>
        </a:custGeom>
        <a:noFill/>
        <a:ln w="952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89647</xdr:colOff>
      <xdr:row>31</xdr:row>
      <xdr:rowOff>100852</xdr:rowOff>
    </xdr:from>
    <xdr:to>
      <xdr:col>25</xdr:col>
      <xdr:colOff>437029</xdr:colOff>
      <xdr:row>32</xdr:row>
      <xdr:rowOff>134471</xdr:rowOff>
    </xdr:to>
    <xdr:sp macro="" textlink="">
      <xdr:nvSpPr>
        <xdr:cNvPr id="17" name="Oval 16">
          <a:extLst>
            <a:ext uri="{FF2B5EF4-FFF2-40B4-BE49-F238E27FC236}">
              <a16:creationId xmlns:a16="http://schemas.microsoft.com/office/drawing/2014/main" id="{C0A9D2F2-97A0-4D01-8336-2CC7C2C00660}"/>
            </a:ext>
          </a:extLst>
        </xdr:cNvPr>
        <xdr:cNvSpPr/>
      </xdr:nvSpPr>
      <xdr:spPr>
        <a:xfrm>
          <a:off x="15340853" y="6622676"/>
          <a:ext cx="347382" cy="268942"/>
        </a:xfrm>
        <a:prstGeom prst="ellipse">
          <a:avLst/>
        </a:prstGeom>
        <a:noFill/>
        <a:ln>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376517</xdr:colOff>
      <xdr:row>30</xdr:row>
      <xdr:rowOff>6723</xdr:rowOff>
    </xdr:from>
    <xdr:to>
      <xdr:col>7</xdr:col>
      <xdr:colOff>56030</xdr:colOff>
      <xdr:row>31</xdr:row>
      <xdr:rowOff>40341</xdr:rowOff>
    </xdr:to>
    <xdr:sp macro="" textlink="">
      <xdr:nvSpPr>
        <xdr:cNvPr id="23" name="Oval 22">
          <a:extLst>
            <a:ext uri="{FF2B5EF4-FFF2-40B4-BE49-F238E27FC236}">
              <a16:creationId xmlns:a16="http://schemas.microsoft.com/office/drawing/2014/main" id="{292BD7AD-C986-4856-81DC-EA203B2A188B}"/>
            </a:ext>
          </a:extLst>
        </xdr:cNvPr>
        <xdr:cNvSpPr/>
      </xdr:nvSpPr>
      <xdr:spPr>
        <a:xfrm>
          <a:off x="4847664" y="6293223"/>
          <a:ext cx="519954" cy="268942"/>
        </a:xfrm>
        <a:prstGeom prst="ellipse">
          <a:avLst/>
        </a:prstGeom>
        <a:noFill/>
        <a:ln>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594928</xdr:colOff>
      <xdr:row>12</xdr:row>
      <xdr:rowOff>8980</xdr:rowOff>
    </xdr:from>
    <xdr:to>
      <xdr:col>33</xdr:col>
      <xdr:colOff>448234</xdr:colOff>
      <xdr:row>28</xdr:row>
      <xdr:rowOff>179294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313764</xdr:colOff>
      <xdr:row>11</xdr:row>
      <xdr:rowOff>179294</xdr:rowOff>
    </xdr:from>
    <xdr:to>
      <xdr:col>20</xdr:col>
      <xdr:colOff>571499</xdr:colOff>
      <xdr:row>17</xdr:row>
      <xdr:rowOff>30664</xdr:rowOff>
    </xdr:to>
    <xdr:pic>
      <xdr:nvPicPr>
        <xdr:cNvPr id="3" name="Picture 2">
          <a:extLst>
            <a:ext uri="{FF2B5EF4-FFF2-40B4-BE49-F238E27FC236}">
              <a16:creationId xmlns:a16="http://schemas.microsoft.com/office/drawing/2014/main" id="{58B6B8B8-0C36-4D7A-9273-7E8072FAD8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21588" y="2790265"/>
          <a:ext cx="1770529" cy="117366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394610</xdr:colOff>
      <xdr:row>12</xdr:row>
      <xdr:rowOff>95251</xdr:rowOff>
    </xdr:from>
    <xdr:to>
      <xdr:col>19</xdr:col>
      <xdr:colOff>557895</xdr:colOff>
      <xdr:row>17</xdr:row>
      <xdr:rowOff>132369</xdr:rowOff>
    </xdr:to>
    <xdr:pic>
      <xdr:nvPicPr>
        <xdr:cNvPr id="129" name="Picture 128">
          <a:extLst>
            <a:ext uri="{FF2B5EF4-FFF2-40B4-BE49-F238E27FC236}">
              <a16:creationId xmlns:a16="http://schemas.microsoft.com/office/drawing/2014/main" id="{233A12DE-A489-40AC-AC56-9C03494900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22431" y="2871108"/>
          <a:ext cx="1741714" cy="112569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413015</xdr:colOff>
      <xdr:row>37</xdr:row>
      <xdr:rowOff>160039</xdr:rowOff>
    </xdr:from>
    <xdr:to>
      <xdr:col>9</xdr:col>
      <xdr:colOff>599952</xdr:colOff>
      <xdr:row>58</xdr:row>
      <xdr:rowOff>11132</xdr:rowOff>
    </xdr:to>
    <xdr:graphicFrame macro="">
      <xdr:nvGraphicFramePr>
        <xdr:cNvPr id="2" name="Chart 1">
          <a:extLst>
            <a:ext uri="{FF2B5EF4-FFF2-40B4-BE49-F238E27FC236}">
              <a16:creationId xmlns:a16="http://schemas.microsoft.com/office/drawing/2014/main" id="{702054AB-A114-4D4A-BA16-7C783A760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29</xdr:col>
      <xdr:colOff>558913</xdr:colOff>
      <xdr:row>9</xdr:row>
      <xdr:rowOff>124657</xdr:rowOff>
    </xdr:from>
    <xdr:ext cx="276090" cy="22062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D074ED6-96C3-4385-8240-403AB0093E0C}"/>
                </a:ext>
              </a:extLst>
            </xdr:cNvPr>
            <xdr:cNvSpPr txBox="1"/>
          </xdr:nvSpPr>
          <xdr:spPr>
            <a:xfrm>
              <a:off x="16638304" y="2267782"/>
              <a:ext cx="276090" cy="220623"/>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𝑥</m:t>
                    </m:r>
                  </m:oMath>
                </m:oMathPara>
              </a14:m>
              <a:endParaRPr lang="en-US" sz="1100"/>
            </a:p>
          </xdr:txBody>
        </xdr:sp>
      </mc:Choice>
      <mc:Fallback xmlns="">
        <xdr:sp macro="" textlink="">
          <xdr:nvSpPr>
            <xdr:cNvPr id="3" name="TextBox 2">
              <a:extLst>
                <a:ext uri="{FF2B5EF4-FFF2-40B4-BE49-F238E27FC236}">
                  <a16:creationId xmlns:a16="http://schemas.microsoft.com/office/drawing/2014/main" id="{6D074ED6-96C3-4385-8240-403AB0093E0C}"/>
                </a:ext>
              </a:extLst>
            </xdr:cNvPr>
            <xdr:cNvSpPr txBox="1"/>
          </xdr:nvSpPr>
          <xdr:spPr>
            <a:xfrm>
              <a:off x="16638304" y="2267782"/>
              <a:ext cx="276090" cy="220623"/>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200" b="0" i="0">
                  <a:latin typeface="Cambria Math" panose="02040503050406030204" pitchFamily="18" charset="0"/>
                </a:rPr>
                <a:t>𝑥</a:t>
              </a:r>
              <a:endParaRPr lang="en-US" sz="1100"/>
            </a:p>
          </xdr:txBody>
        </xdr:sp>
      </mc:Fallback>
    </mc:AlternateContent>
    <xdr:clientData/>
  </xdr:oneCellAnchor>
  <xdr:oneCellAnchor>
    <xdr:from>
      <xdr:col>30</xdr:col>
      <xdr:colOff>299852</xdr:colOff>
      <xdr:row>9</xdr:row>
      <xdr:rowOff>72417</xdr:rowOff>
    </xdr:from>
    <xdr:ext cx="937461" cy="44679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59DCAC-47B6-4465-984B-CDED050F8E12}"/>
                </a:ext>
              </a:extLst>
            </xdr:cNvPr>
            <xdr:cNvSpPr txBox="1"/>
          </xdr:nvSpPr>
          <xdr:spPr>
            <a:xfrm>
              <a:off x="17825852" y="2176200"/>
              <a:ext cx="937461" cy="446798"/>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𝑥</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𝑚𝑖𝑛</m:t>
                        </m:r>
                        <m:r>
                          <a:rPr lang="en-US" sz="1100" b="0" i="1">
                            <a:solidFill>
                              <a:schemeClr val="tx1"/>
                            </a:solidFill>
                            <a:effectLst/>
                            <a:latin typeface="Cambria Math" panose="02040503050406030204" pitchFamily="18" charset="0"/>
                            <a:ea typeface="+mn-ea"/>
                            <a:cs typeface="+mn-cs"/>
                          </a:rPr>
                          <m:t>)</m:t>
                        </m:r>
                      </m:num>
                      <m:den>
                        <m:r>
                          <a:rPr lang="en-US" sz="1100" b="0" i="1">
                            <a:solidFill>
                              <a:schemeClr val="tx1"/>
                            </a:solidFill>
                            <a:effectLst/>
                            <a:latin typeface="Cambria Math" panose="02040503050406030204" pitchFamily="18" charset="0"/>
                            <a:ea typeface="+mn-ea"/>
                            <a:cs typeface="+mn-cs"/>
                          </a:rPr>
                          <m:t>𝑠𝑝𝑎𝑛</m:t>
                        </m:r>
                      </m:den>
                    </m:f>
                  </m:oMath>
                </m:oMathPara>
              </a14:m>
              <a:endParaRPr lang="en-US" sz="1100"/>
            </a:p>
          </xdr:txBody>
        </xdr:sp>
      </mc:Choice>
      <mc:Fallback xmlns="">
        <xdr:sp macro="" textlink="">
          <xdr:nvSpPr>
            <xdr:cNvPr id="4" name="TextBox 3">
              <a:extLst>
                <a:ext uri="{FF2B5EF4-FFF2-40B4-BE49-F238E27FC236}">
                  <a16:creationId xmlns:a16="http://schemas.microsoft.com/office/drawing/2014/main" id="{3C59DCAC-47B6-4465-984B-CDED050F8E12}"/>
                </a:ext>
              </a:extLst>
            </xdr:cNvPr>
            <xdr:cNvSpPr txBox="1"/>
          </xdr:nvSpPr>
          <xdr:spPr>
            <a:xfrm>
              <a:off x="17825852" y="2176200"/>
              <a:ext cx="937461" cy="446798"/>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b="0" i="0">
                  <a:solidFill>
                    <a:schemeClr val="tx1"/>
                  </a:solidFill>
                  <a:effectLst/>
                  <a:latin typeface="+mn-lt"/>
                  <a:ea typeface="+mn-ea"/>
                  <a:cs typeface="+mn-cs"/>
                </a:rPr>
                <a:t>((𝑥−𝑚</a:t>
              </a:r>
              <a:r>
                <a:rPr lang="en-US" sz="1100" b="0" i="0">
                  <a:solidFill>
                    <a:schemeClr val="tx1"/>
                  </a:solidFill>
                  <a:effectLst/>
                  <a:latin typeface="Cambria Math" panose="02040503050406030204" pitchFamily="18" charset="0"/>
                  <a:ea typeface="+mn-ea"/>
                  <a:cs typeface="+mn-cs"/>
                </a:rPr>
                <a:t>𝑖𝑛</a:t>
              </a:r>
              <a:r>
                <a:rPr lang="en-US" sz="1100" b="0" i="0">
                  <a:solidFill>
                    <a:schemeClr val="tx1"/>
                  </a:solidFill>
                  <a:effectLst/>
                  <a:latin typeface="+mn-lt"/>
                  <a:ea typeface="+mn-ea"/>
                  <a:cs typeface="+mn-cs"/>
                </a:rPr>
                <a:t>))/𝑠</a:t>
              </a:r>
              <a:r>
                <a:rPr lang="en-US" sz="1100" b="0" i="0">
                  <a:solidFill>
                    <a:schemeClr val="tx1"/>
                  </a:solidFill>
                  <a:effectLst/>
                  <a:latin typeface="Cambria Math" panose="02040503050406030204" pitchFamily="18" charset="0"/>
                  <a:ea typeface="+mn-ea"/>
                  <a:cs typeface="+mn-cs"/>
                </a:rPr>
                <a:t>𝑝𝑎𝑛</a:t>
              </a:r>
              <a:endParaRPr lang="en-US" sz="1100"/>
            </a:p>
          </xdr:txBody>
        </xdr:sp>
      </mc:Fallback>
    </mc:AlternateContent>
    <xdr:clientData/>
  </xdr:oneCellAnchor>
  <xdr:twoCellAnchor>
    <xdr:from>
      <xdr:col>32</xdr:col>
      <xdr:colOff>5953</xdr:colOff>
      <xdr:row>3</xdr:row>
      <xdr:rowOff>119062</xdr:rowOff>
    </xdr:from>
    <xdr:to>
      <xdr:col>32</xdr:col>
      <xdr:colOff>11908</xdr:colOff>
      <xdr:row>10</xdr:row>
      <xdr:rowOff>35719</xdr:rowOff>
    </xdr:to>
    <xdr:cxnSp macro="">
      <xdr:nvCxnSpPr>
        <xdr:cNvPr id="6" name="Straight Connector 5">
          <a:extLst>
            <a:ext uri="{FF2B5EF4-FFF2-40B4-BE49-F238E27FC236}">
              <a16:creationId xmlns:a16="http://schemas.microsoft.com/office/drawing/2014/main" id="{FCA0FAF9-EE66-483A-98F0-255F30982568}"/>
            </a:ext>
          </a:extLst>
        </xdr:cNvPr>
        <xdr:cNvCxnSpPr/>
      </xdr:nvCxnSpPr>
      <xdr:spPr>
        <a:xfrm>
          <a:off x="19597687" y="928687"/>
          <a:ext cx="5955" cy="1458516"/>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11907</xdr:colOff>
      <xdr:row>10</xdr:row>
      <xdr:rowOff>29766</xdr:rowOff>
    </xdr:from>
    <xdr:to>
      <xdr:col>36</xdr:col>
      <xdr:colOff>95250</xdr:colOff>
      <xdr:row>10</xdr:row>
      <xdr:rowOff>29766</xdr:rowOff>
    </xdr:to>
    <xdr:cxnSp macro="">
      <xdr:nvCxnSpPr>
        <xdr:cNvPr id="13" name="Straight Connector 12">
          <a:extLst>
            <a:ext uri="{FF2B5EF4-FFF2-40B4-BE49-F238E27FC236}">
              <a16:creationId xmlns:a16="http://schemas.microsoft.com/office/drawing/2014/main" id="{40D3A0B8-1204-4275-BFEE-92EB987FCEAB}"/>
            </a:ext>
          </a:extLst>
        </xdr:cNvPr>
        <xdr:cNvCxnSpPr/>
      </xdr:nvCxnSpPr>
      <xdr:spPr>
        <a:xfrm>
          <a:off x="19603641" y="2381250"/>
          <a:ext cx="2512218" cy="0"/>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535781</xdr:colOff>
      <xdr:row>9</xdr:row>
      <xdr:rowOff>107156</xdr:rowOff>
    </xdr:from>
    <xdr:to>
      <xdr:col>32</xdr:col>
      <xdr:colOff>89297</xdr:colOff>
      <xdr:row>9</xdr:row>
      <xdr:rowOff>107156</xdr:rowOff>
    </xdr:to>
    <xdr:cxnSp macro="">
      <xdr:nvCxnSpPr>
        <xdr:cNvPr id="16" name="Straight Connector 15">
          <a:extLst>
            <a:ext uri="{FF2B5EF4-FFF2-40B4-BE49-F238E27FC236}">
              <a16:creationId xmlns:a16="http://schemas.microsoft.com/office/drawing/2014/main" id="{44639451-7520-4D42-B960-46F4A66AE864}"/>
            </a:ext>
          </a:extLst>
        </xdr:cNvPr>
        <xdr:cNvCxnSpPr/>
      </xdr:nvCxnSpPr>
      <xdr:spPr>
        <a:xfrm>
          <a:off x="19520297" y="2238375"/>
          <a:ext cx="16073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533400</xdr:colOff>
      <xdr:row>4</xdr:row>
      <xdr:rowOff>122634</xdr:rowOff>
    </xdr:from>
    <xdr:to>
      <xdr:col>32</xdr:col>
      <xdr:colOff>86916</xdr:colOff>
      <xdr:row>4</xdr:row>
      <xdr:rowOff>122634</xdr:rowOff>
    </xdr:to>
    <xdr:cxnSp macro="">
      <xdr:nvCxnSpPr>
        <xdr:cNvPr id="19" name="Straight Connector 18">
          <a:extLst>
            <a:ext uri="{FF2B5EF4-FFF2-40B4-BE49-F238E27FC236}">
              <a16:creationId xmlns:a16="http://schemas.microsoft.com/office/drawing/2014/main" id="{1D574CFD-3032-428A-A051-969448AAF586}"/>
            </a:ext>
          </a:extLst>
        </xdr:cNvPr>
        <xdr:cNvCxnSpPr/>
      </xdr:nvCxnSpPr>
      <xdr:spPr>
        <a:xfrm>
          <a:off x="19517916" y="1152525"/>
          <a:ext cx="16073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517922</xdr:colOff>
      <xdr:row>9</xdr:row>
      <xdr:rowOff>202406</xdr:rowOff>
    </xdr:from>
    <xdr:to>
      <xdr:col>32</xdr:col>
      <xdr:colOff>517922</xdr:colOff>
      <xdr:row>10</xdr:row>
      <xdr:rowOff>166688</xdr:rowOff>
    </xdr:to>
    <xdr:cxnSp macro="">
      <xdr:nvCxnSpPr>
        <xdr:cNvPr id="20" name="Straight Connector 19">
          <a:extLst>
            <a:ext uri="{FF2B5EF4-FFF2-40B4-BE49-F238E27FC236}">
              <a16:creationId xmlns:a16="http://schemas.microsoft.com/office/drawing/2014/main" id="{8F51DA86-B377-44C4-A3A4-FEC65D790BCB}"/>
            </a:ext>
          </a:extLst>
        </xdr:cNvPr>
        <xdr:cNvCxnSpPr/>
      </xdr:nvCxnSpPr>
      <xdr:spPr>
        <a:xfrm>
          <a:off x="20109656" y="2333625"/>
          <a:ext cx="0" cy="1845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295275</xdr:colOff>
      <xdr:row>9</xdr:row>
      <xdr:rowOff>200025</xdr:rowOff>
    </xdr:from>
    <xdr:to>
      <xdr:col>35</xdr:col>
      <xdr:colOff>295275</xdr:colOff>
      <xdr:row>10</xdr:row>
      <xdr:rowOff>164307</xdr:rowOff>
    </xdr:to>
    <xdr:cxnSp macro="">
      <xdr:nvCxnSpPr>
        <xdr:cNvPr id="23" name="Straight Connector 22">
          <a:extLst>
            <a:ext uri="{FF2B5EF4-FFF2-40B4-BE49-F238E27FC236}">
              <a16:creationId xmlns:a16="http://schemas.microsoft.com/office/drawing/2014/main" id="{3DE9C100-3514-4198-A21E-CF39BD4788C8}"/>
            </a:ext>
          </a:extLst>
        </xdr:cNvPr>
        <xdr:cNvCxnSpPr/>
      </xdr:nvCxnSpPr>
      <xdr:spPr>
        <a:xfrm>
          <a:off x="21708666" y="2331244"/>
          <a:ext cx="0" cy="1845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31</xdr:col>
      <xdr:colOff>315515</xdr:colOff>
      <xdr:row>3</xdr:row>
      <xdr:rowOff>202406</xdr:rowOff>
    </xdr:from>
    <xdr:ext cx="256160" cy="264560"/>
    <xdr:sp macro="" textlink="">
      <xdr:nvSpPr>
        <xdr:cNvPr id="24" name="TextBox 23">
          <a:extLst>
            <a:ext uri="{FF2B5EF4-FFF2-40B4-BE49-F238E27FC236}">
              <a16:creationId xmlns:a16="http://schemas.microsoft.com/office/drawing/2014/main" id="{AF2E5997-E136-4BBE-A6D6-160DB0B12AC6}"/>
            </a:ext>
          </a:extLst>
        </xdr:cNvPr>
        <xdr:cNvSpPr txBox="1"/>
      </xdr:nvSpPr>
      <xdr:spPr>
        <a:xfrm>
          <a:off x="19300031" y="101203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1</a:t>
          </a:r>
        </a:p>
      </xdr:txBody>
    </xdr:sp>
    <xdr:clientData/>
  </xdr:oneCellAnchor>
  <xdr:oneCellAnchor>
    <xdr:from>
      <xdr:col>31</xdr:col>
      <xdr:colOff>289322</xdr:colOff>
      <xdr:row>2</xdr:row>
      <xdr:rowOff>92868</xdr:rowOff>
    </xdr:from>
    <xdr:ext cx="706925" cy="264560"/>
    <xdr:sp macro="" textlink="">
      <xdr:nvSpPr>
        <xdr:cNvPr id="25" name="TextBox 24">
          <a:extLst>
            <a:ext uri="{FF2B5EF4-FFF2-40B4-BE49-F238E27FC236}">
              <a16:creationId xmlns:a16="http://schemas.microsoft.com/office/drawing/2014/main" id="{AFBA509E-0DEA-4649-B0E5-65C3E641F35B}"/>
            </a:ext>
          </a:extLst>
        </xdr:cNvPr>
        <xdr:cNvSpPr txBox="1"/>
      </xdr:nvSpPr>
      <xdr:spPr>
        <a:xfrm>
          <a:off x="19273838" y="682227"/>
          <a:ext cx="706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PM-price</a:t>
          </a:r>
        </a:p>
      </xdr:txBody>
    </xdr:sp>
    <xdr:clientData/>
  </xdr:oneCellAnchor>
  <xdr:oneCellAnchor>
    <xdr:from>
      <xdr:col>36</xdr:col>
      <xdr:colOff>96441</xdr:colOff>
      <xdr:row>9</xdr:row>
      <xdr:rowOff>114299</xdr:rowOff>
    </xdr:from>
    <xdr:ext cx="1772665" cy="264560"/>
    <xdr:sp macro="" textlink="">
      <xdr:nvSpPr>
        <xdr:cNvPr id="26" name="TextBox 25">
          <a:extLst>
            <a:ext uri="{FF2B5EF4-FFF2-40B4-BE49-F238E27FC236}">
              <a16:creationId xmlns:a16="http://schemas.microsoft.com/office/drawing/2014/main" id="{FA26D994-294F-42D5-B38E-54E1D929F774}"/>
            </a:ext>
          </a:extLst>
        </xdr:cNvPr>
        <xdr:cNvSpPr txBox="1"/>
      </xdr:nvSpPr>
      <xdr:spPr>
        <a:xfrm>
          <a:off x="22117050" y="2245518"/>
          <a:ext cx="17726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Value of real-world variable</a:t>
          </a:r>
        </a:p>
      </xdr:txBody>
    </xdr:sp>
    <xdr:clientData/>
  </xdr:oneCellAnchor>
  <xdr:oneCellAnchor>
    <xdr:from>
      <xdr:col>32</xdr:col>
      <xdr:colOff>314326</xdr:colOff>
      <xdr:row>10</xdr:row>
      <xdr:rowOff>111920</xdr:rowOff>
    </xdr:from>
    <xdr:ext cx="403828" cy="264560"/>
    <xdr:sp macro="" textlink="">
      <xdr:nvSpPr>
        <xdr:cNvPr id="27" name="TextBox 26">
          <a:extLst>
            <a:ext uri="{FF2B5EF4-FFF2-40B4-BE49-F238E27FC236}">
              <a16:creationId xmlns:a16="http://schemas.microsoft.com/office/drawing/2014/main" id="{039FBB41-29D9-4510-A4E7-81B0E69400B1}"/>
            </a:ext>
          </a:extLst>
        </xdr:cNvPr>
        <xdr:cNvSpPr txBox="1"/>
      </xdr:nvSpPr>
      <xdr:spPr>
        <a:xfrm>
          <a:off x="19906060" y="2463404"/>
          <a:ext cx="4038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min</a:t>
          </a:r>
        </a:p>
      </xdr:txBody>
    </xdr:sp>
    <xdr:clientData/>
  </xdr:oneCellAnchor>
  <xdr:oneCellAnchor>
    <xdr:from>
      <xdr:col>35</xdr:col>
      <xdr:colOff>85726</xdr:colOff>
      <xdr:row>10</xdr:row>
      <xdr:rowOff>97632</xdr:rowOff>
    </xdr:from>
    <xdr:ext cx="426014" cy="264560"/>
    <xdr:sp macro="" textlink="">
      <xdr:nvSpPr>
        <xdr:cNvPr id="28" name="TextBox 27">
          <a:extLst>
            <a:ext uri="{FF2B5EF4-FFF2-40B4-BE49-F238E27FC236}">
              <a16:creationId xmlns:a16="http://schemas.microsoft.com/office/drawing/2014/main" id="{74FA4CFC-E014-4DDC-86AC-B8C796DC9F20}"/>
            </a:ext>
          </a:extLst>
        </xdr:cNvPr>
        <xdr:cNvSpPr txBox="1"/>
      </xdr:nvSpPr>
      <xdr:spPr>
        <a:xfrm>
          <a:off x="21499117" y="2449116"/>
          <a:ext cx="4260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max</a:t>
          </a:r>
        </a:p>
      </xdr:txBody>
    </xdr:sp>
    <xdr:clientData/>
  </xdr:oneCellAnchor>
  <xdr:oneCellAnchor>
    <xdr:from>
      <xdr:col>31</xdr:col>
      <xdr:colOff>325039</xdr:colOff>
      <xdr:row>8</xdr:row>
      <xdr:rowOff>194072</xdr:rowOff>
    </xdr:from>
    <xdr:ext cx="256160" cy="264560"/>
    <xdr:sp macro="" textlink="">
      <xdr:nvSpPr>
        <xdr:cNvPr id="29" name="TextBox 28">
          <a:extLst>
            <a:ext uri="{FF2B5EF4-FFF2-40B4-BE49-F238E27FC236}">
              <a16:creationId xmlns:a16="http://schemas.microsoft.com/office/drawing/2014/main" id="{0805FFB9-4341-4475-9CF6-6577A2D31A50}"/>
            </a:ext>
          </a:extLst>
        </xdr:cNvPr>
        <xdr:cNvSpPr txBox="1"/>
      </xdr:nvSpPr>
      <xdr:spPr>
        <a:xfrm>
          <a:off x="19309555" y="21050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0</a:t>
          </a:r>
        </a:p>
      </xdr:txBody>
    </xdr:sp>
    <xdr:clientData/>
  </xdr:oneCellAnchor>
  <xdr:twoCellAnchor>
    <xdr:from>
      <xdr:col>35</xdr:col>
      <xdr:colOff>301916</xdr:colOff>
      <xdr:row>4</xdr:row>
      <xdr:rowOff>122207</xdr:rowOff>
    </xdr:from>
    <xdr:to>
      <xdr:col>36</xdr:col>
      <xdr:colOff>287538</xdr:colOff>
      <xdr:row>4</xdr:row>
      <xdr:rowOff>122207</xdr:rowOff>
    </xdr:to>
    <xdr:cxnSp macro="">
      <xdr:nvCxnSpPr>
        <xdr:cNvPr id="31" name="Straight Connector 30">
          <a:extLst>
            <a:ext uri="{FF2B5EF4-FFF2-40B4-BE49-F238E27FC236}">
              <a16:creationId xmlns:a16="http://schemas.microsoft.com/office/drawing/2014/main" id="{626FE624-0790-4BA9-9052-5D478B5D80CF}"/>
            </a:ext>
          </a:extLst>
        </xdr:cNvPr>
        <xdr:cNvCxnSpPr/>
      </xdr:nvCxnSpPr>
      <xdr:spPr>
        <a:xfrm>
          <a:off x="21778095" y="1150188"/>
          <a:ext cx="59666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45809</xdr:colOff>
      <xdr:row>9</xdr:row>
      <xdr:rowOff>107830</xdr:rowOff>
    </xdr:from>
    <xdr:to>
      <xdr:col>32</xdr:col>
      <xdr:colOff>513990</xdr:colOff>
      <xdr:row>9</xdr:row>
      <xdr:rowOff>108594</xdr:rowOff>
    </xdr:to>
    <xdr:cxnSp macro="">
      <xdr:nvCxnSpPr>
        <xdr:cNvPr id="35" name="Straight Connector 34">
          <a:extLst>
            <a:ext uri="{FF2B5EF4-FFF2-40B4-BE49-F238E27FC236}">
              <a16:creationId xmlns:a16="http://schemas.microsoft.com/office/drawing/2014/main" id="{81C798C7-7259-49BC-943A-E401E3F5E3A3}"/>
            </a:ext>
          </a:extLst>
        </xdr:cNvPr>
        <xdr:cNvCxnSpPr/>
      </xdr:nvCxnSpPr>
      <xdr:spPr>
        <a:xfrm flipV="1">
          <a:off x="19688875" y="2232085"/>
          <a:ext cx="468181" cy="764"/>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517585</xdr:colOff>
      <xdr:row>4</xdr:row>
      <xdr:rowOff>122209</xdr:rowOff>
    </xdr:from>
    <xdr:to>
      <xdr:col>35</xdr:col>
      <xdr:colOff>309114</xdr:colOff>
      <xdr:row>9</xdr:row>
      <xdr:rowOff>107830</xdr:rowOff>
    </xdr:to>
    <xdr:cxnSp macro="">
      <xdr:nvCxnSpPr>
        <xdr:cNvPr id="46" name="Straight Connector 45">
          <a:extLst>
            <a:ext uri="{FF2B5EF4-FFF2-40B4-BE49-F238E27FC236}">
              <a16:creationId xmlns:a16="http://schemas.microsoft.com/office/drawing/2014/main" id="{6A0B2DC3-5900-4834-BF8D-DD49A553F9A9}"/>
            </a:ext>
          </a:extLst>
        </xdr:cNvPr>
        <xdr:cNvCxnSpPr/>
      </xdr:nvCxnSpPr>
      <xdr:spPr>
        <a:xfrm flipV="1">
          <a:off x="20160651" y="1150190"/>
          <a:ext cx="1624642" cy="108189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142876</xdr:colOff>
      <xdr:row>4</xdr:row>
      <xdr:rowOff>125015</xdr:rowOff>
    </xdr:from>
    <xdr:to>
      <xdr:col>35</xdr:col>
      <xdr:colOff>226219</xdr:colOff>
      <xdr:row>4</xdr:row>
      <xdr:rowOff>125016</xdr:rowOff>
    </xdr:to>
    <xdr:cxnSp macro="">
      <xdr:nvCxnSpPr>
        <xdr:cNvPr id="49" name="Straight Connector 48">
          <a:extLst>
            <a:ext uri="{FF2B5EF4-FFF2-40B4-BE49-F238E27FC236}">
              <a16:creationId xmlns:a16="http://schemas.microsoft.com/office/drawing/2014/main" id="{C3C33357-7148-434E-B082-5D25CC2780F3}"/>
            </a:ext>
          </a:extLst>
        </xdr:cNvPr>
        <xdr:cNvCxnSpPr/>
      </xdr:nvCxnSpPr>
      <xdr:spPr>
        <a:xfrm>
          <a:off x="19734610" y="1166812"/>
          <a:ext cx="1905000" cy="1"/>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78581</xdr:colOff>
      <xdr:row>10</xdr:row>
      <xdr:rowOff>172640</xdr:rowOff>
    </xdr:from>
    <xdr:ext cx="1237059" cy="452437"/>
    <xdr:sp macro="" textlink="">
      <xdr:nvSpPr>
        <xdr:cNvPr id="51" name="TextBox 50">
          <a:extLst>
            <a:ext uri="{FF2B5EF4-FFF2-40B4-BE49-F238E27FC236}">
              <a16:creationId xmlns:a16="http://schemas.microsoft.com/office/drawing/2014/main" id="{F9B4BFE4-B724-493F-A50B-597ECA564F76}"/>
            </a:ext>
          </a:extLst>
        </xdr:cNvPr>
        <xdr:cNvSpPr txBox="1"/>
      </xdr:nvSpPr>
      <xdr:spPr>
        <a:xfrm>
          <a:off x="16157972" y="2536031"/>
          <a:ext cx="1237059" cy="452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700"/>
            <a:t>(when the lowest value x can take</a:t>
          </a:r>
          <a:r>
            <a:rPr lang="en-US" sz="700" baseline="0"/>
            <a:t> is zero, and the highest value x can take is 1)</a:t>
          </a:r>
          <a:endParaRPr lang="en-US" sz="700"/>
        </a:p>
      </xdr:txBody>
    </xdr:sp>
    <xdr:clientData/>
  </xdr:oneCellAnchor>
  <xdr:oneCellAnchor>
    <xdr:from>
      <xdr:col>29</xdr:col>
      <xdr:colOff>1292083</xdr:colOff>
      <xdr:row>11</xdr:row>
      <xdr:rowOff>16565</xdr:rowOff>
    </xdr:from>
    <xdr:ext cx="1714500" cy="452437"/>
    <xdr:sp macro="" textlink="">
      <xdr:nvSpPr>
        <xdr:cNvPr id="52" name="TextBox 51">
          <a:extLst>
            <a:ext uri="{FF2B5EF4-FFF2-40B4-BE49-F238E27FC236}">
              <a16:creationId xmlns:a16="http://schemas.microsoft.com/office/drawing/2014/main" id="{16F23F7B-492B-416A-AB82-44A9ADEA1929}"/>
            </a:ext>
          </a:extLst>
        </xdr:cNvPr>
        <xdr:cNvSpPr txBox="1"/>
      </xdr:nvSpPr>
      <xdr:spPr>
        <a:xfrm>
          <a:off x="17443170" y="2551043"/>
          <a:ext cx="1714500" cy="452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700"/>
            <a:t>(when real-life x takes on values</a:t>
          </a:r>
          <a:r>
            <a:rPr lang="en-US" sz="700" baseline="0"/>
            <a:t> outside the [0,1] range, we must transform x)</a:t>
          </a:r>
          <a:endParaRPr lang="en-US" sz="700"/>
        </a:p>
      </xdr:txBody>
    </xdr:sp>
    <xdr:clientData/>
  </xdr:oneCellAnchor>
  <xdr:twoCellAnchor>
    <xdr:from>
      <xdr:col>35</xdr:col>
      <xdr:colOff>297655</xdr:colOff>
      <xdr:row>4</xdr:row>
      <xdr:rowOff>214312</xdr:rowOff>
    </xdr:from>
    <xdr:to>
      <xdr:col>35</xdr:col>
      <xdr:colOff>303608</xdr:colOff>
      <xdr:row>9</xdr:row>
      <xdr:rowOff>136920</xdr:rowOff>
    </xdr:to>
    <xdr:cxnSp macro="">
      <xdr:nvCxnSpPr>
        <xdr:cNvPr id="53" name="Straight Connector 52">
          <a:extLst>
            <a:ext uri="{FF2B5EF4-FFF2-40B4-BE49-F238E27FC236}">
              <a16:creationId xmlns:a16="http://schemas.microsoft.com/office/drawing/2014/main" id="{568FD919-A027-435E-ABC7-83D9FE4AA2B4}"/>
            </a:ext>
          </a:extLst>
        </xdr:cNvPr>
        <xdr:cNvCxnSpPr/>
      </xdr:nvCxnSpPr>
      <xdr:spPr>
        <a:xfrm flipV="1">
          <a:off x="21711046" y="1256109"/>
          <a:ext cx="5953" cy="1023936"/>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364435</xdr:colOff>
      <xdr:row>22</xdr:row>
      <xdr:rowOff>24849</xdr:rowOff>
    </xdr:from>
    <xdr:ext cx="695739" cy="422412"/>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DF6EC25D-3F68-4DA3-A971-28E0E24523D8}"/>
                </a:ext>
              </a:extLst>
            </xdr:cNvPr>
            <xdr:cNvSpPr txBox="1"/>
          </xdr:nvSpPr>
          <xdr:spPr>
            <a:xfrm>
              <a:off x="16515522" y="5044110"/>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1−</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𝑥</m:t>
                            </m:r>
                          </m:den>
                        </m:f>
                        <m:r>
                          <a:rPr lang="en-US" sz="1100" b="0" i="1">
                            <a:solidFill>
                              <a:schemeClr val="tx1"/>
                            </a:solidFill>
                            <a:effectLst/>
                            <a:latin typeface="Cambria Math" panose="02040503050406030204" pitchFamily="18" charset="0"/>
                            <a:ea typeface="+mn-ea"/>
                            <a:cs typeface="+mn-cs"/>
                          </a:rPr>
                          <m:t> </m:t>
                        </m:r>
                      </m:e>
                    </m:d>
                  </m:oMath>
                </m:oMathPara>
              </a14:m>
              <a:endParaRPr lang="en-US" sz="1100"/>
            </a:p>
          </xdr:txBody>
        </xdr:sp>
      </mc:Choice>
      <mc:Fallback xmlns="">
        <xdr:sp macro="" textlink="">
          <xdr:nvSpPr>
            <xdr:cNvPr id="57" name="TextBox 56">
              <a:extLst>
                <a:ext uri="{FF2B5EF4-FFF2-40B4-BE49-F238E27FC236}">
                  <a16:creationId xmlns:a16="http://schemas.microsoft.com/office/drawing/2014/main" id="{DF6EC25D-3F68-4DA3-A971-28E0E24523D8}"/>
                </a:ext>
              </a:extLst>
            </xdr:cNvPr>
            <xdr:cNvSpPr txBox="1"/>
          </xdr:nvSpPr>
          <xdr:spPr>
            <a:xfrm>
              <a:off x="16515522" y="5044110"/>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200" b="0" i="0">
                  <a:latin typeface="Cambria Math" panose="02040503050406030204" pitchFamily="18" charset="0"/>
                </a:rPr>
                <a:t>1−</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 1</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𝑥  </a:t>
              </a:r>
              <a:r>
                <a:rPr lang="en-US" sz="1100" b="0" i="0">
                  <a:solidFill>
                    <a:schemeClr val="tx1"/>
                  </a:solidFill>
                  <a:effectLst/>
                  <a:latin typeface="+mn-lt"/>
                  <a:ea typeface="+mn-ea"/>
                  <a:cs typeface="+mn-cs"/>
                </a:rPr>
                <a:t>)</a:t>
              </a:r>
              <a:endParaRPr lang="en-US" sz="1100"/>
            </a:p>
          </xdr:txBody>
        </xdr:sp>
      </mc:Fallback>
    </mc:AlternateContent>
    <xdr:clientData/>
  </xdr:oneCellAnchor>
  <xdr:oneCellAnchor>
    <xdr:from>
      <xdr:col>30</xdr:col>
      <xdr:colOff>74543</xdr:colOff>
      <xdr:row>22</xdr:row>
      <xdr:rowOff>72417</xdr:rowOff>
    </xdr:from>
    <xdr:ext cx="1391479" cy="446798"/>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1225BA6F-F9BD-4FC7-A204-BC89FFE33318}"/>
                </a:ext>
              </a:extLst>
            </xdr:cNvPr>
            <xdr:cNvSpPr txBox="1"/>
          </xdr:nvSpPr>
          <xdr:spPr>
            <a:xfrm>
              <a:off x="17600543" y="5091678"/>
              <a:ext cx="1391479" cy="446798"/>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𝑚𝑎𝑥</m:t>
                            </m:r>
                          </m:num>
                          <m:den>
                            <m:r>
                              <a:rPr lang="en-US" sz="1100" b="0" i="1">
                                <a:solidFill>
                                  <a:schemeClr val="tx1"/>
                                </a:solidFill>
                                <a:effectLst/>
                                <a:latin typeface="Cambria Math" panose="02040503050406030204" pitchFamily="18" charset="0"/>
                                <a:ea typeface="+mn-ea"/>
                                <a:cs typeface="+mn-cs"/>
                              </a:rPr>
                              <m:t>𝑠𝑝𝑎𝑛</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𝑚𝑖𝑛</m:t>
                            </m:r>
                          </m:num>
                          <m:den>
                            <m:r>
                              <a:rPr lang="en-US" sz="1100" b="0" i="1">
                                <a:solidFill>
                                  <a:schemeClr val="tx1"/>
                                </a:solidFill>
                                <a:effectLst/>
                                <a:latin typeface="Cambria Math" panose="02040503050406030204" pitchFamily="18" charset="0"/>
                                <a:ea typeface="+mn-ea"/>
                                <a:cs typeface="+mn-cs"/>
                              </a:rPr>
                              <m:t>𝑥</m:t>
                            </m:r>
                          </m:den>
                        </m:f>
                      </m:e>
                    </m:d>
                  </m:oMath>
                </m:oMathPara>
              </a14:m>
              <a:endParaRPr lang="en-US" sz="1100"/>
            </a:p>
          </xdr:txBody>
        </xdr:sp>
      </mc:Choice>
      <mc:Fallback xmlns="">
        <xdr:sp macro="" textlink="">
          <xdr:nvSpPr>
            <xdr:cNvPr id="58" name="TextBox 57">
              <a:extLst>
                <a:ext uri="{FF2B5EF4-FFF2-40B4-BE49-F238E27FC236}">
                  <a16:creationId xmlns:a16="http://schemas.microsoft.com/office/drawing/2014/main" id="{1225BA6F-F9BD-4FC7-A204-BC89FFE33318}"/>
                </a:ext>
              </a:extLst>
            </xdr:cNvPr>
            <xdr:cNvSpPr txBox="1"/>
          </xdr:nvSpPr>
          <xdr:spPr>
            <a:xfrm>
              <a:off x="17600543" y="5091678"/>
              <a:ext cx="1391479" cy="446798"/>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b="0" i="0">
                  <a:solidFill>
                    <a:schemeClr val="tx1"/>
                  </a:solidFill>
                  <a:effectLst/>
                  <a:latin typeface="Cambria Math" panose="02040503050406030204" pitchFamily="18" charset="0"/>
                  <a:ea typeface="+mn-ea"/>
                  <a:cs typeface="+mn-cs"/>
                </a:rPr>
                <a:t>(𝑚𝑎𝑥/𝑠𝑝𝑎𝑛)∗(1−𝑚𝑖𝑛/𝑥)</a:t>
              </a:r>
              <a:endParaRPr lang="en-US" sz="1100"/>
            </a:p>
          </xdr:txBody>
        </xdr:sp>
      </mc:Fallback>
    </mc:AlternateContent>
    <xdr:clientData/>
  </xdr:oneCellAnchor>
  <xdr:twoCellAnchor>
    <xdr:from>
      <xdr:col>32</xdr:col>
      <xdr:colOff>5953</xdr:colOff>
      <xdr:row>16</xdr:row>
      <xdr:rowOff>119062</xdr:rowOff>
    </xdr:from>
    <xdr:to>
      <xdr:col>32</xdr:col>
      <xdr:colOff>11908</xdr:colOff>
      <xdr:row>23</xdr:row>
      <xdr:rowOff>35719</xdr:rowOff>
    </xdr:to>
    <xdr:cxnSp macro="">
      <xdr:nvCxnSpPr>
        <xdr:cNvPr id="59" name="Straight Connector 58">
          <a:extLst>
            <a:ext uri="{FF2B5EF4-FFF2-40B4-BE49-F238E27FC236}">
              <a16:creationId xmlns:a16="http://schemas.microsoft.com/office/drawing/2014/main" id="{47FF9A44-0620-4EB9-B66A-9A410F08FA05}"/>
            </a:ext>
          </a:extLst>
        </xdr:cNvPr>
        <xdr:cNvCxnSpPr/>
      </xdr:nvCxnSpPr>
      <xdr:spPr>
        <a:xfrm>
          <a:off x="19677149" y="930758"/>
          <a:ext cx="5955" cy="1424091"/>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11907</xdr:colOff>
      <xdr:row>23</xdr:row>
      <xdr:rowOff>29766</xdr:rowOff>
    </xdr:from>
    <xdr:to>
      <xdr:col>36</xdr:col>
      <xdr:colOff>95250</xdr:colOff>
      <xdr:row>23</xdr:row>
      <xdr:rowOff>29766</xdr:rowOff>
    </xdr:to>
    <xdr:cxnSp macro="">
      <xdr:nvCxnSpPr>
        <xdr:cNvPr id="60" name="Straight Connector 59">
          <a:extLst>
            <a:ext uri="{FF2B5EF4-FFF2-40B4-BE49-F238E27FC236}">
              <a16:creationId xmlns:a16="http://schemas.microsoft.com/office/drawing/2014/main" id="{18B17B0F-213A-4881-A446-3B079F331BA0}"/>
            </a:ext>
          </a:extLst>
        </xdr:cNvPr>
        <xdr:cNvCxnSpPr/>
      </xdr:nvCxnSpPr>
      <xdr:spPr>
        <a:xfrm>
          <a:off x="19683103" y="2348896"/>
          <a:ext cx="2534995" cy="0"/>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535781</xdr:colOff>
      <xdr:row>22</xdr:row>
      <xdr:rowOff>107156</xdr:rowOff>
    </xdr:from>
    <xdr:to>
      <xdr:col>32</xdr:col>
      <xdr:colOff>89297</xdr:colOff>
      <xdr:row>22</xdr:row>
      <xdr:rowOff>107156</xdr:rowOff>
    </xdr:to>
    <xdr:cxnSp macro="">
      <xdr:nvCxnSpPr>
        <xdr:cNvPr id="61" name="Straight Connector 60">
          <a:extLst>
            <a:ext uri="{FF2B5EF4-FFF2-40B4-BE49-F238E27FC236}">
              <a16:creationId xmlns:a16="http://schemas.microsoft.com/office/drawing/2014/main" id="{9B758934-064C-4214-88C4-B81377995940}"/>
            </a:ext>
          </a:extLst>
        </xdr:cNvPr>
        <xdr:cNvCxnSpPr/>
      </xdr:nvCxnSpPr>
      <xdr:spPr>
        <a:xfrm>
          <a:off x="19594064" y="2210939"/>
          <a:ext cx="16642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533400</xdr:colOff>
      <xdr:row>17</xdr:row>
      <xdr:rowOff>122634</xdr:rowOff>
    </xdr:from>
    <xdr:to>
      <xdr:col>32</xdr:col>
      <xdr:colOff>86916</xdr:colOff>
      <xdr:row>17</xdr:row>
      <xdr:rowOff>122634</xdr:rowOff>
    </xdr:to>
    <xdr:cxnSp macro="">
      <xdr:nvCxnSpPr>
        <xdr:cNvPr id="62" name="Straight Connector 61">
          <a:extLst>
            <a:ext uri="{FF2B5EF4-FFF2-40B4-BE49-F238E27FC236}">
              <a16:creationId xmlns:a16="http://schemas.microsoft.com/office/drawing/2014/main" id="{74480E28-64FD-40F9-86FE-B1F2C6197709}"/>
            </a:ext>
          </a:extLst>
        </xdr:cNvPr>
        <xdr:cNvCxnSpPr/>
      </xdr:nvCxnSpPr>
      <xdr:spPr>
        <a:xfrm>
          <a:off x="19591683" y="1149677"/>
          <a:ext cx="16642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517922</xdr:colOff>
      <xdr:row>22</xdr:row>
      <xdr:rowOff>202406</xdr:rowOff>
    </xdr:from>
    <xdr:to>
      <xdr:col>32</xdr:col>
      <xdr:colOff>517922</xdr:colOff>
      <xdr:row>23</xdr:row>
      <xdr:rowOff>166688</xdr:rowOff>
    </xdr:to>
    <xdr:cxnSp macro="">
      <xdr:nvCxnSpPr>
        <xdr:cNvPr id="63" name="Straight Connector 62">
          <a:extLst>
            <a:ext uri="{FF2B5EF4-FFF2-40B4-BE49-F238E27FC236}">
              <a16:creationId xmlns:a16="http://schemas.microsoft.com/office/drawing/2014/main" id="{BA68DB94-FC86-40EC-9D24-98607AE7B08A}"/>
            </a:ext>
          </a:extLst>
        </xdr:cNvPr>
        <xdr:cNvCxnSpPr/>
      </xdr:nvCxnSpPr>
      <xdr:spPr>
        <a:xfrm>
          <a:off x="20189118" y="2306189"/>
          <a:ext cx="0" cy="1796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295275</xdr:colOff>
      <xdr:row>22</xdr:row>
      <xdr:rowOff>200025</xdr:rowOff>
    </xdr:from>
    <xdr:to>
      <xdr:col>35</xdr:col>
      <xdr:colOff>295275</xdr:colOff>
      <xdr:row>23</xdr:row>
      <xdr:rowOff>164307</xdr:rowOff>
    </xdr:to>
    <xdr:cxnSp macro="">
      <xdr:nvCxnSpPr>
        <xdr:cNvPr id="64" name="Straight Connector 63">
          <a:extLst>
            <a:ext uri="{FF2B5EF4-FFF2-40B4-BE49-F238E27FC236}">
              <a16:creationId xmlns:a16="http://schemas.microsoft.com/office/drawing/2014/main" id="{F7D1A0DA-E851-46CB-B012-5F4FB2334D62}"/>
            </a:ext>
          </a:extLst>
        </xdr:cNvPr>
        <xdr:cNvCxnSpPr/>
      </xdr:nvCxnSpPr>
      <xdr:spPr>
        <a:xfrm>
          <a:off x="21805210" y="2303808"/>
          <a:ext cx="0" cy="1796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31</xdr:col>
      <xdr:colOff>315515</xdr:colOff>
      <xdr:row>16</xdr:row>
      <xdr:rowOff>202406</xdr:rowOff>
    </xdr:from>
    <xdr:ext cx="256160" cy="264560"/>
    <xdr:sp macro="" textlink="">
      <xdr:nvSpPr>
        <xdr:cNvPr id="65" name="TextBox 64">
          <a:extLst>
            <a:ext uri="{FF2B5EF4-FFF2-40B4-BE49-F238E27FC236}">
              <a16:creationId xmlns:a16="http://schemas.microsoft.com/office/drawing/2014/main" id="{5E2C572B-1C76-43DD-9CC5-744AD544F977}"/>
            </a:ext>
          </a:extLst>
        </xdr:cNvPr>
        <xdr:cNvSpPr txBox="1"/>
      </xdr:nvSpPr>
      <xdr:spPr>
        <a:xfrm>
          <a:off x="19373798" y="101410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1</a:t>
          </a:r>
        </a:p>
      </xdr:txBody>
    </xdr:sp>
    <xdr:clientData/>
  </xdr:oneCellAnchor>
  <xdr:oneCellAnchor>
    <xdr:from>
      <xdr:col>31</xdr:col>
      <xdr:colOff>289322</xdr:colOff>
      <xdr:row>15</xdr:row>
      <xdr:rowOff>92868</xdr:rowOff>
    </xdr:from>
    <xdr:ext cx="706925" cy="264560"/>
    <xdr:sp macro="" textlink="">
      <xdr:nvSpPr>
        <xdr:cNvPr id="66" name="TextBox 65">
          <a:extLst>
            <a:ext uri="{FF2B5EF4-FFF2-40B4-BE49-F238E27FC236}">
              <a16:creationId xmlns:a16="http://schemas.microsoft.com/office/drawing/2014/main" id="{D3099350-F828-4DC5-89D0-F6E04947BA09}"/>
            </a:ext>
          </a:extLst>
        </xdr:cNvPr>
        <xdr:cNvSpPr txBox="1"/>
      </xdr:nvSpPr>
      <xdr:spPr>
        <a:xfrm>
          <a:off x="19347605" y="689216"/>
          <a:ext cx="706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PM-price</a:t>
          </a:r>
        </a:p>
      </xdr:txBody>
    </xdr:sp>
    <xdr:clientData/>
  </xdr:oneCellAnchor>
  <xdr:oneCellAnchor>
    <xdr:from>
      <xdr:col>36</xdr:col>
      <xdr:colOff>96441</xdr:colOff>
      <xdr:row>22</xdr:row>
      <xdr:rowOff>114299</xdr:rowOff>
    </xdr:from>
    <xdr:ext cx="1772665" cy="264560"/>
    <xdr:sp macro="" textlink="">
      <xdr:nvSpPr>
        <xdr:cNvPr id="67" name="TextBox 66">
          <a:extLst>
            <a:ext uri="{FF2B5EF4-FFF2-40B4-BE49-F238E27FC236}">
              <a16:creationId xmlns:a16="http://schemas.microsoft.com/office/drawing/2014/main" id="{F45A686C-BE08-42A2-A299-70FFEF1194B5}"/>
            </a:ext>
          </a:extLst>
        </xdr:cNvPr>
        <xdr:cNvSpPr txBox="1"/>
      </xdr:nvSpPr>
      <xdr:spPr>
        <a:xfrm>
          <a:off x="22219289" y="2218082"/>
          <a:ext cx="17726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Value of real-world variable</a:t>
          </a:r>
        </a:p>
      </xdr:txBody>
    </xdr:sp>
    <xdr:clientData/>
  </xdr:oneCellAnchor>
  <xdr:oneCellAnchor>
    <xdr:from>
      <xdr:col>32</xdr:col>
      <xdr:colOff>314326</xdr:colOff>
      <xdr:row>23</xdr:row>
      <xdr:rowOff>111920</xdr:rowOff>
    </xdr:from>
    <xdr:ext cx="403828" cy="264560"/>
    <xdr:sp macro="" textlink="">
      <xdr:nvSpPr>
        <xdr:cNvPr id="68" name="TextBox 67">
          <a:extLst>
            <a:ext uri="{FF2B5EF4-FFF2-40B4-BE49-F238E27FC236}">
              <a16:creationId xmlns:a16="http://schemas.microsoft.com/office/drawing/2014/main" id="{66BAD09F-4DA2-4199-B825-2FAAAE4CFEA0}"/>
            </a:ext>
          </a:extLst>
        </xdr:cNvPr>
        <xdr:cNvSpPr txBox="1"/>
      </xdr:nvSpPr>
      <xdr:spPr>
        <a:xfrm>
          <a:off x="19985522" y="2431050"/>
          <a:ext cx="4038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min</a:t>
          </a:r>
        </a:p>
      </xdr:txBody>
    </xdr:sp>
    <xdr:clientData/>
  </xdr:oneCellAnchor>
  <xdr:oneCellAnchor>
    <xdr:from>
      <xdr:col>35</xdr:col>
      <xdr:colOff>85726</xdr:colOff>
      <xdr:row>23</xdr:row>
      <xdr:rowOff>97632</xdr:rowOff>
    </xdr:from>
    <xdr:ext cx="426014" cy="264560"/>
    <xdr:sp macro="" textlink="">
      <xdr:nvSpPr>
        <xdr:cNvPr id="69" name="TextBox 68">
          <a:extLst>
            <a:ext uri="{FF2B5EF4-FFF2-40B4-BE49-F238E27FC236}">
              <a16:creationId xmlns:a16="http://schemas.microsoft.com/office/drawing/2014/main" id="{F674BAD1-5067-4A5C-B238-6A7B179FA505}"/>
            </a:ext>
          </a:extLst>
        </xdr:cNvPr>
        <xdr:cNvSpPr txBox="1"/>
      </xdr:nvSpPr>
      <xdr:spPr>
        <a:xfrm>
          <a:off x="21595661" y="2416762"/>
          <a:ext cx="4260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max</a:t>
          </a:r>
        </a:p>
      </xdr:txBody>
    </xdr:sp>
    <xdr:clientData/>
  </xdr:oneCellAnchor>
  <xdr:oneCellAnchor>
    <xdr:from>
      <xdr:col>31</xdr:col>
      <xdr:colOff>325039</xdr:colOff>
      <xdr:row>21</xdr:row>
      <xdr:rowOff>194072</xdr:rowOff>
    </xdr:from>
    <xdr:ext cx="256160" cy="264560"/>
    <xdr:sp macro="" textlink="">
      <xdr:nvSpPr>
        <xdr:cNvPr id="70" name="TextBox 69">
          <a:extLst>
            <a:ext uri="{FF2B5EF4-FFF2-40B4-BE49-F238E27FC236}">
              <a16:creationId xmlns:a16="http://schemas.microsoft.com/office/drawing/2014/main" id="{1E1ABE16-2731-4223-9C54-AE4091DA39F6}"/>
            </a:ext>
          </a:extLst>
        </xdr:cNvPr>
        <xdr:cNvSpPr txBox="1"/>
      </xdr:nvSpPr>
      <xdr:spPr>
        <a:xfrm>
          <a:off x="19383322" y="208250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0</a:t>
          </a:r>
        </a:p>
      </xdr:txBody>
    </xdr:sp>
    <xdr:clientData/>
  </xdr:oneCellAnchor>
  <xdr:twoCellAnchor>
    <xdr:from>
      <xdr:col>35</xdr:col>
      <xdr:colOff>301916</xdr:colOff>
      <xdr:row>17</xdr:row>
      <xdr:rowOff>138773</xdr:rowOff>
    </xdr:from>
    <xdr:to>
      <xdr:col>36</xdr:col>
      <xdr:colOff>287538</xdr:colOff>
      <xdr:row>17</xdr:row>
      <xdr:rowOff>138773</xdr:rowOff>
    </xdr:to>
    <xdr:cxnSp macro="">
      <xdr:nvCxnSpPr>
        <xdr:cNvPr id="71" name="Straight Connector 70">
          <a:extLst>
            <a:ext uri="{FF2B5EF4-FFF2-40B4-BE49-F238E27FC236}">
              <a16:creationId xmlns:a16="http://schemas.microsoft.com/office/drawing/2014/main" id="{4DEF431F-982C-4E7B-BFDF-519F5D6BDD2F}"/>
            </a:ext>
          </a:extLst>
        </xdr:cNvPr>
        <xdr:cNvCxnSpPr/>
      </xdr:nvCxnSpPr>
      <xdr:spPr>
        <a:xfrm>
          <a:off x="21811851" y="3965338"/>
          <a:ext cx="59853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45809</xdr:colOff>
      <xdr:row>22</xdr:row>
      <xdr:rowOff>107830</xdr:rowOff>
    </xdr:from>
    <xdr:to>
      <xdr:col>32</xdr:col>
      <xdr:colOff>513990</xdr:colOff>
      <xdr:row>22</xdr:row>
      <xdr:rowOff>108594</xdr:rowOff>
    </xdr:to>
    <xdr:cxnSp macro="">
      <xdr:nvCxnSpPr>
        <xdr:cNvPr id="72" name="Straight Connector 71">
          <a:extLst>
            <a:ext uri="{FF2B5EF4-FFF2-40B4-BE49-F238E27FC236}">
              <a16:creationId xmlns:a16="http://schemas.microsoft.com/office/drawing/2014/main" id="{BE92649A-1888-4677-A8BF-0F09BCC6010B}"/>
            </a:ext>
          </a:extLst>
        </xdr:cNvPr>
        <xdr:cNvCxnSpPr/>
      </xdr:nvCxnSpPr>
      <xdr:spPr>
        <a:xfrm flipV="1">
          <a:off x="19717005" y="2211613"/>
          <a:ext cx="468181" cy="764"/>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142876</xdr:colOff>
      <xdr:row>17</xdr:row>
      <xdr:rowOff>125015</xdr:rowOff>
    </xdr:from>
    <xdr:to>
      <xdr:col>35</xdr:col>
      <xdr:colOff>226219</xdr:colOff>
      <xdr:row>17</xdr:row>
      <xdr:rowOff>125016</xdr:rowOff>
    </xdr:to>
    <xdr:cxnSp macro="">
      <xdr:nvCxnSpPr>
        <xdr:cNvPr id="74" name="Straight Connector 73">
          <a:extLst>
            <a:ext uri="{FF2B5EF4-FFF2-40B4-BE49-F238E27FC236}">
              <a16:creationId xmlns:a16="http://schemas.microsoft.com/office/drawing/2014/main" id="{DC4A3356-F53F-422B-AE80-6E79A76CC07B}"/>
            </a:ext>
          </a:extLst>
        </xdr:cNvPr>
        <xdr:cNvCxnSpPr/>
      </xdr:nvCxnSpPr>
      <xdr:spPr>
        <a:xfrm>
          <a:off x="19814072" y="1152058"/>
          <a:ext cx="1922082" cy="1"/>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78581</xdr:colOff>
      <xdr:row>23</xdr:row>
      <xdr:rowOff>205772</xdr:rowOff>
    </xdr:from>
    <xdr:ext cx="1237059" cy="452437"/>
    <xdr:sp macro="" textlink="">
      <xdr:nvSpPr>
        <xdr:cNvPr id="75" name="TextBox 74">
          <a:extLst>
            <a:ext uri="{FF2B5EF4-FFF2-40B4-BE49-F238E27FC236}">
              <a16:creationId xmlns:a16="http://schemas.microsoft.com/office/drawing/2014/main" id="{528E69D8-4A06-41ED-9212-4296A93592D9}"/>
            </a:ext>
          </a:extLst>
        </xdr:cNvPr>
        <xdr:cNvSpPr txBox="1"/>
      </xdr:nvSpPr>
      <xdr:spPr>
        <a:xfrm>
          <a:off x="16229668" y="5465229"/>
          <a:ext cx="1237059" cy="452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700"/>
            <a:t>(when the lowest value x can take</a:t>
          </a:r>
          <a:r>
            <a:rPr lang="en-US" sz="700" baseline="0"/>
            <a:t> is 1, and the highest value x can take is +INF)</a:t>
          </a:r>
          <a:endParaRPr lang="en-US" sz="700"/>
        </a:p>
      </xdr:txBody>
    </xdr:sp>
    <xdr:clientData/>
  </xdr:oneCellAnchor>
  <xdr:oneCellAnchor>
    <xdr:from>
      <xdr:col>29</xdr:col>
      <xdr:colOff>1292083</xdr:colOff>
      <xdr:row>24</xdr:row>
      <xdr:rowOff>16565</xdr:rowOff>
    </xdr:from>
    <xdr:ext cx="1714500" cy="452437"/>
    <xdr:sp macro="" textlink="">
      <xdr:nvSpPr>
        <xdr:cNvPr id="76" name="TextBox 75">
          <a:extLst>
            <a:ext uri="{FF2B5EF4-FFF2-40B4-BE49-F238E27FC236}">
              <a16:creationId xmlns:a16="http://schemas.microsoft.com/office/drawing/2014/main" id="{ACD7E35B-D967-43D0-A079-9994F83D862F}"/>
            </a:ext>
          </a:extLst>
        </xdr:cNvPr>
        <xdr:cNvSpPr txBox="1"/>
      </xdr:nvSpPr>
      <xdr:spPr>
        <a:xfrm>
          <a:off x="17443170" y="2551043"/>
          <a:ext cx="1714500" cy="452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700"/>
            <a:t>(a</a:t>
          </a:r>
          <a:r>
            <a:rPr lang="en-US" sz="700" baseline="0"/>
            <a:t> custom range, subject to min &gt;= 1 . )</a:t>
          </a:r>
          <a:endParaRPr lang="en-US" sz="700"/>
        </a:p>
      </xdr:txBody>
    </xdr:sp>
    <xdr:clientData/>
  </xdr:oneCellAnchor>
  <xdr:twoCellAnchor>
    <xdr:from>
      <xdr:col>35</xdr:col>
      <xdr:colOff>297655</xdr:colOff>
      <xdr:row>17</xdr:row>
      <xdr:rowOff>214312</xdr:rowOff>
    </xdr:from>
    <xdr:to>
      <xdr:col>35</xdr:col>
      <xdr:colOff>303608</xdr:colOff>
      <xdr:row>22</xdr:row>
      <xdr:rowOff>136920</xdr:rowOff>
    </xdr:to>
    <xdr:cxnSp macro="">
      <xdr:nvCxnSpPr>
        <xdr:cNvPr id="77" name="Straight Connector 76">
          <a:extLst>
            <a:ext uri="{FF2B5EF4-FFF2-40B4-BE49-F238E27FC236}">
              <a16:creationId xmlns:a16="http://schemas.microsoft.com/office/drawing/2014/main" id="{ED8E0134-3ADF-4494-B2AA-736ED3F03016}"/>
            </a:ext>
          </a:extLst>
        </xdr:cNvPr>
        <xdr:cNvCxnSpPr/>
      </xdr:nvCxnSpPr>
      <xdr:spPr>
        <a:xfrm flipV="1">
          <a:off x="21807590" y="1241355"/>
          <a:ext cx="5953" cy="999348"/>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521803</xdr:colOff>
      <xdr:row>17</xdr:row>
      <xdr:rowOff>140381</xdr:rowOff>
    </xdr:from>
    <xdr:to>
      <xdr:col>35</xdr:col>
      <xdr:colOff>314739</xdr:colOff>
      <xdr:row>22</xdr:row>
      <xdr:rowOff>115956</xdr:rowOff>
    </xdr:to>
    <xdr:sp macro="" textlink="">
      <xdr:nvSpPr>
        <xdr:cNvPr id="79" name="Freeform: Shape 78">
          <a:extLst>
            <a:ext uri="{FF2B5EF4-FFF2-40B4-BE49-F238E27FC236}">
              <a16:creationId xmlns:a16="http://schemas.microsoft.com/office/drawing/2014/main" id="{6EAA0BA1-8B62-4C66-92D9-8347367B83FD}"/>
            </a:ext>
          </a:extLst>
        </xdr:cNvPr>
        <xdr:cNvSpPr/>
      </xdr:nvSpPr>
      <xdr:spPr>
        <a:xfrm>
          <a:off x="20192999" y="3966946"/>
          <a:ext cx="1631675" cy="1168271"/>
        </a:xfrm>
        <a:custGeom>
          <a:avLst/>
          <a:gdLst>
            <a:gd name="connsiteX0" fmla="*/ 4373 w 1627765"/>
            <a:gd name="connsiteY0" fmla="*/ 1168271 h 1168271"/>
            <a:gd name="connsiteX1" fmla="*/ 252852 w 1627765"/>
            <a:gd name="connsiteY1" fmla="*/ 190924 h 1168271"/>
            <a:gd name="connsiteX2" fmla="*/ 1627765 w 1627765"/>
            <a:gd name="connsiteY2" fmla="*/ 424 h 1168271"/>
          </a:gdLst>
          <a:ahLst/>
          <a:cxnLst>
            <a:cxn ang="0">
              <a:pos x="connsiteX0" y="connsiteY0"/>
            </a:cxn>
            <a:cxn ang="0">
              <a:pos x="connsiteX1" y="connsiteY1"/>
            </a:cxn>
            <a:cxn ang="0">
              <a:pos x="connsiteX2" y="connsiteY2"/>
            </a:cxn>
          </a:cxnLst>
          <a:rect l="l" t="t" r="r" b="b"/>
          <a:pathLst>
            <a:path w="1627765" h="1168271">
              <a:moveTo>
                <a:pt x="4373" y="1168271"/>
              </a:moveTo>
              <a:cubicBezTo>
                <a:pt x="-6670" y="776918"/>
                <a:pt x="-17713" y="385565"/>
                <a:pt x="252852" y="190924"/>
              </a:cubicBezTo>
              <a:cubicBezTo>
                <a:pt x="523417" y="-3717"/>
                <a:pt x="1075591" y="-1647"/>
                <a:pt x="1627765" y="424"/>
              </a:cubicBezTo>
            </a:path>
          </a:pathLst>
        </a:cu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315199</xdr:colOff>
      <xdr:row>9</xdr:row>
      <xdr:rowOff>114861</xdr:rowOff>
    </xdr:from>
    <xdr:to>
      <xdr:col>36</xdr:col>
      <xdr:colOff>300821</xdr:colOff>
      <xdr:row>9</xdr:row>
      <xdr:rowOff>114861</xdr:rowOff>
    </xdr:to>
    <xdr:cxnSp macro="">
      <xdr:nvCxnSpPr>
        <xdr:cNvPr id="80" name="Straight Connector 79">
          <a:extLst>
            <a:ext uri="{FF2B5EF4-FFF2-40B4-BE49-F238E27FC236}">
              <a16:creationId xmlns:a16="http://schemas.microsoft.com/office/drawing/2014/main" id="{EFCFD075-D01C-4E02-A898-F92C1DE2AA56}"/>
            </a:ext>
          </a:extLst>
        </xdr:cNvPr>
        <xdr:cNvCxnSpPr/>
      </xdr:nvCxnSpPr>
      <xdr:spPr>
        <a:xfrm>
          <a:off x="21825134" y="2218644"/>
          <a:ext cx="598535" cy="0"/>
        </a:xfrm>
        <a:prstGeom prst="line">
          <a:avLst/>
        </a:prstGeom>
        <a:ln w="28575">
          <a:solidFill>
            <a:srgbClr val="FF0000">
              <a:alpha val="14902"/>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59092</xdr:colOff>
      <xdr:row>4</xdr:row>
      <xdr:rowOff>125335</xdr:rowOff>
    </xdr:from>
    <xdr:to>
      <xdr:col>32</xdr:col>
      <xdr:colOff>527273</xdr:colOff>
      <xdr:row>4</xdr:row>
      <xdr:rowOff>126099</xdr:rowOff>
    </xdr:to>
    <xdr:cxnSp macro="">
      <xdr:nvCxnSpPr>
        <xdr:cNvPr id="81" name="Straight Connector 80">
          <a:extLst>
            <a:ext uri="{FF2B5EF4-FFF2-40B4-BE49-F238E27FC236}">
              <a16:creationId xmlns:a16="http://schemas.microsoft.com/office/drawing/2014/main" id="{058DF850-8E2B-4123-9646-B15E54B0B0C8}"/>
            </a:ext>
          </a:extLst>
        </xdr:cNvPr>
        <xdr:cNvCxnSpPr/>
      </xdr:nvCxnSpPr>
      <xdr:spPr>
        <a:xfrm flipV="1">
          <a:off x="19730288" y="1152378"/>
          <a:ext cx="468181" cy="764"/>
        </a:xfrm>
        <a:prstGeom prst="line">
          <a:avLst/>
        </a:prstGeom>
        <a:ln w="28575">
          <a:solidFill>
            <a:srgbClr val="FF0000">
              <a:alpha val="14902"/>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539152</xdr:colOff>
      <xdr:row>4</xdr:row>
      <xdr:rowOff>117053</xdr:rowOff>
    </xdr:from>
    <xdr:to>
      <xdr:col>35</xdr:col>
      <xdr:colOff>306456</xdr:colOff>
      <xdr:row>9</xdr:row>
      <xdr:rowOff>124239</xdr:rowOff>
    </xdr:to>
    <xdr:cxnSp macro="">
      <xdr:nvCxnSpPr>
        <xdr:cNvPr id="82" name="Straight Connector 81">
          <a:extLst>
            <a:ext uri="{FF2B5EF4-FFF2-40B4-BE49-F238E27FC236}">
              <a16:creationId xmlns:a16="http://schemas.microsoft.com/office/drawing/2014/main" id="{8DEBEF2C-0AF4-422A-B6D4-66C5B8C59568}"/>
            </a:ext>
          </a:extLst>
        </xdr:cNvPr>
        <xdr:cNvCxnSpPr/>
      </xdr:nvCxnSpPr>
      <xdr:spPr>
        <a:xfrm>
          <a:off x="20210348" y="1144096"/>
          <a:ext cx="1606043" cy="1083926"/>
        </a:xfrm>
        <a:prstGeom prst="line">
          <a:avLst/>
        </a:prstGeom>
        <a:ln w="28575">
          <a:solidFill>
            <a:srgbClr val="FF0000">
              <a:alpha val="14902"/>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516833</xdr:colOff>
      <xdr:row>17</xdr:row>
      <xdr:rowOff>140804</xdr:rowOff>
    </xdr:from>
    <xdr:to>
      <xdr:col>35</xdr:col>
      <xdr:colOff>309769</xdr:colOff>
      <xdr:row>22</xdr:row>
      <xdr:rowOff>132522</xdr:rowOff>
    </xdr:to>
    <xdr:sp macro="" textlink="">
      <xdr:nvSpPr>
        <xdr:cNvPr id="84" name="Freeform: Shape 83">
          <a:extLst>
            <a:ext uri="{FF2B5EF4-FFF2-40B4-BE49-F238E27FC236}">
              <a16:creationId xmlns:a16="http://schemas.microsoft.com/office/drawing/2014/main" id="{B594B40D-43D2-433D-9860-CEC84C806C13}"/>
            </a:ext>
          </a:extLst>
        </xdr:cNvPr>
        <xdr:cNvSpPr/>
      </xdr:nvSpPr>
      <xdr:spPr>
        <a:xfrm flipV="1">
          <a:off x="20188029" y="3967369"/>
          <a:ext cx="1631675" cy="1184414"/>
        </a:xfrm>
        <a:custGeom>
          <a:avLst/>
          <a:gdLst>
            <a:gd name="connsiteX0" fmla="*/ 4373 w 1627765"/>
            <a:gd name="connsiteY0" fmla="*/ 1168271 h 1168271"/>
            <a:gd name="connsiteX1" fmla="*/ 252852 w 1627765"/>
            <a:gd name="connsiteY1" fmla="*/ 190924 h 1168271"/>
            <a:gd name="connsiteX2" fmla="*/ 1627765 w 1627765"/>
            <a:gd name="connsiteY2" fmla="*/ 424 h 1168271"/>
          </a:gdLst>
          <a:ahLst/>
          <a:cxnLst>
            <a:cxn ang="0">
              <a:pos x="connsiteX0" y="connsiteY0"/>
            </a:cxn>
            <a:cxn ang="0">
              <a:pos x="connsiteX1" y="connsiteY1"/>
            </a:cxn>
            <a:cxn ang="0">
              <a:pos x="connsiteX2" y="connsiteY2"/>
            </a:cxn>
          </a:cxnLst>
          <a:rect l="l" t="t" r="r" b="b"/>
          <a:pathLst>
            <a:path w="1627765" h="1168271">
              <a:moveTo>
                <a:pt x="4373" y="1168271"/>
              </a:moveTo>
              <a:cubicBezTo>
                <a:pt x="-6670" y="776918"/>
                <a:pt x="-17713" y="385565"/>
                <a:pt x="252852" y="190924"/>
              </a:cubicBezTo>
              <a:cubicBezTo>
                <a:pt x="523417" y="-3717"/>
                <a:pt x="1075591" y="-1647"/>
                <a:pt x="1627765" y="424"/>
              </a:cubicBezTo>
            </a:path>
          </a:pathLst>
        </a:custGeom>
        <a:noFill/>
        <a:ln>
          <a:solidFill>
            <a:srgbClr val="FF0000">
              <a:alpha val="14902"/>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305229</xdr:colOff>
      <xdr:row>22</xdr:row>
      <xdr:rowOff>133802</xdr:rowOff>
    </xdr:from>
    <xdr:to>
      <xdr:col>36</xdr:col>
      <xdr:colOff>290851</xdr:colOff>
      <xdr:row>22</xdr:row>
      <xdr:rowOff>133802</xdr:rowOff>
    </xdr:to>
    <xdr:cxnSp macro="">
      <xdr:nvCxnSpPr>
        <xdr:cNvPr id="85" name="Straight Connector 84">
          <a:extLst>
            <a:ext uri="{FF2B5EF4-FFF2-40B4-BE49-F238E27FC236}">
              <a16:creationId xmlns:a16="http://schemas.microsoft.com/office/drawing/2014/main" id="{449F9271-E5CD-40E9-BCE2-7906B5E16B34}"/>
            </a:ext>
          </a:extLst>
        </xdr:cNvPr>
        <xdr:cNvCxnSpPr/>
      </xdr:nvCxnSpPr>
      <xdr:spPr>
        <a:xfrm>
          <a:off x="21815164" y="5153063"/>
          <a:ext cx="598535" cy="0"/>
        </a:xfrm>
        <a:prstGeom prst="line">
          <a:avLst/>
        </a:prstGeom>
        <a:ln w="28575">
          <a:solidFill>
            <a:srgbClr val="FF0000">
              <a:alpha val="14902"/>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40839</xdr:colOff>
      <xdr:row>17</xdr:row>
      <xdr:rowOff>135990</xdr:rowOff>
    </xdr:from>
    <xdr:to>
      <xdr:col>32</xdr:col>
      <xdr:colOff>509020</xdr:colOff>
      <xdr:row>17</xdr:row>
      <xdr:rowOff>136754</xdr:rowOff>
    </xdr:to>
    <xdr:cxnSp macro="">
      <xdr:nvCxnSpPr>
        <xdr:cNvPr id="86" name="Straight Connector 85">
          <a:extLst>
            <a:ext uri="{FF2B5EF4-FFF2-40B4-BE49-F238E27FC236}">
              <a16:creationId xmlns:a16="http://schemas.microsoft.com/office/drawing/2014/main" id="{880693E6-F017-4DEB-B6DD-C19743B74F03}"/>
            </a:ext>
          </a:extLst>
        </xdr:cNvPr>
        <xdr:cNvCxnSpPr/>
      </xdr:nvCxnSpPr>
      <xdr:spPr>
        <a:xfrm flipV="1">
          <a:off x="19712035" y="3962555"/>
          <a:ext cx="468181" cy="764"/>
        </a:xfrm>
        <a:prstGeom prst="line">
          <a:avLst/>
        </a:prstGeom>
        <a:ln w="28575">
          <a:solidFill>
            <a:srgbClr val="FF0000">
              <a:alpha val="14902"/>
            </a:srgb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364435</xdr:colOff>
      <xdr:row>35</xdr:row>
      <xdr:rowOff>24849</xdr:rowOff>
    </xdr:from>
    <xdr:ext cx="695739" cy="422412"/>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ED84FD65-F72D-4D55-B630-C76D7274E7B3}"/>
                </a:ext>
              </a:extLst>
            </xdr:cNvPr>
            <xdr:cNvSpPr txBox="1"/>
          </xdr:nvSpPr>
          <xdr:spPr>
            <a:xfrm>
              <a:off x="16515522" y="5044110"/>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𝑥</m:t>
                            </m:r>
                          </m:den>
                        </m:f>
                        <m:r>
                          <a:rPr lang="en-US" sz="1100" b="0" i="1">
                            <a:solidFill>
                              <a:schemeClr val="tx1"/>
                            </a:solidFill>
                            <a:effectLst/>
                            <a:latin typeface="Cambria Math" panose="02040503050406030204" pitchFamily="18" charset="0"/>
                            <a:ea typeface="+mn-ea"/>
                            <a:cs typeface="+mn-cs"/>
                          </a:rPr>
                          <m:t> </m:t>
                        </m:r>
                      </m:e>
                    </m:d>
                  </m:oMath>
                </m:oMathPara>
              </a14:m>
              <a:endParaRPr lang="en-US" sz="1100"/>
            </a:p>
          </xdr:txBody>
        </xdr:sp>
      </mc:Choice>
      <mc:Fallback xmlns="">
        <xdr:sp macro="" textlink="">
          <xdr:nvSpPr>
            <xdr:cNvPr id="87" name="TextBox 86">
              <a:extLst>
                <a:ext uri="{FF2B5EF4-FFF2-40B4-BE49-F238E27FC236}">
                  <a16:creationId xmlns:a16="http://schemas.microsoft.com/office/drawing/2014/main" id="{ED84FD65-F72D-4D55-B630-C76D7274E7B3}"/>
                </a:ext>
              </a:extLst>
            </xdr:cNvPr>
            <xdr:cNvSpPr txBox="1"/>
          </xdr:nvSpPr>
          <xdr:spPr>
            <a:xfrm>
              <a:off x="16515522" y="5044110"/>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 1</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𝑥  </a:t>
              </a:r>
              <a:r>
                <a:rPr lang="en-US" sz="1100" b="0" i="0">
                  <a:solidFill>
                    <a:schemeClr val="tx1"/>
                  </a:solidFill>
                  <a:effectLst/>
                  <a:latin typeface="+mn-lt"/>
                  <a:ea typeface="+mn-ea"/>
                  <a:cs typeface="+mn-cs"/>
                </a:rPr>
                <a:t>)</a:t>
              </a:r>
              <a:endParaRPr lang="en-US" sz="1100"/>
            </a:p>
          </xdr:txBody>
        </xdr:sp>
      </mc:Fallback>
    </mc:AlternateContent>
    <xdr:clientData/>
  </xdr:oneCellAnchor>
  <xdr:twoCellAnchor>
    <xdr:from>
      <xdr:col>32</xdr:col>
      <xdr:colOff>5953</xdr:colOff>
      <xdr:row>29</xdr:row>
      <xdr:rowOff>119062</xdr:rowOff>
    </xdr:from>
    <xdr:to>
      <xdr:col>32</xdr:col>
      <xdr:colOff>11908</xdr:colOff>
      <xdr:row>36</xdr:row>
      <xdr:rowOff>35719</xdr:rowOff>
    </xdr:to>
    <xdr:cxnSp macro="">
      <xdr:nvCxnSpPr>
        <xdr:cNvPr id="89" name="Straight Connector 88">
          <a:extLst>
            <a:ext uri="{FF2B5EF4-FFF2-40B4-BE49-F238E27FC236}">
              <a16:creationId xmlns:a16="http://schemas.microsoft.com/office/drawing/2014/main" id="{BBF58274-570A-4B06-BC5C-111E1A8B4449}"/>
            </a:ext>
          </a:extLst>
        </xdr:cNvPr>
        <xdr:cNvCxnSpPr/>
      </xdr:nvCxnSpPr>
      <xdr:spPr>
        <a:xfrm>
          <a:off x="19677149" y="3730279"/>
          <a:ext cx="5955" cy="156489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11907</xdr:colOff>
      <xdr:row>36</xdr:row>
      <xdr:rowOff>29766</xdr:rowOff>
    </xdr:from>
    <xdr:to>
      <xdr:col>36</xdr:col>
      <xdr:colOff>95250</xdr:colOff>
      <xdr:row>36</xdr:row>
      <xdr:rowOff>29766</xdr:rowOff>
    </xdr:to>
    <xdr:cxnSp macro="">
      <xdr:nvCxnSpPr>
        <xdr:cNvPr id="90" name="Straight Connector 89">
          <a:extLst>
            <a:ext uri="{FF2B5EF4-FFF2-40B4-BE49-F238E27FC236}">
              <a16:creationId xmlns:a16="http://schemas.microsoft.com/office/drawing/2014/main" id="{0A3DE033-89CE-4B3A-A0F4-FA0225426B07}"/>
            </a:ext>
          </a:extLst>
        </xdr:cNvPr>
        <xdr:cNvCxnSpPr/>
      </xdr:nvCxnSpPr>
      <xdr:spPr>
        <a:xfrm>
          <a:off x="19683103" y="5289223"/>
          <a:ext cx="2534995" cy="0"/>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535781</xdr:colOff>
      <xdr:row>35</xdr:row>
      <xdr:rowOff>107156</xdr:rowOff>
    </xdr:from>
    <xdr:to>
      <xdr:col>32</xdr:col>
      <xdr:colOff>89297</xdr:colOff>
      <xdr:row>35</xdr:row>
      <xdr:rowOff>107156</xdr:rowOff>
    </xdr:to>
    <xdr:cxnSp macro="">
      <xdr:nvCxnSpPr>
        <xdr:cNvPr id="91" name="Straight Connector 90">
          <a:extLst>
            <a:ext uri="{FF2B5EF4-FFF2-40B4-BE49-F238E27FC236}">
              <a16:creationId xmlns:a16="http://schemas.microsoft.com/office/drawing/2014/main" id="{56185BF6-D42A-4471-9A8F-10F023371F23}"/>
            </a:ext>
          </a:extLst>
        </xdr:cNvPr>
        <xdr:cNvCxnSpPr/>
      </xdr:nvCxnSpPr>
      <xdr:spPr>
        <a:xfrm>
          <a:off x="19594064" y="5126417"/>
          <a:ext cx="16642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533400</xdr:colOff>
      <xdr:row>30</xdr:row>
      <xdr:rowOff>122634</xdr:rowOff>
    </xdr:from>
    <xdr:to>
      <xdr:col>32</xdr:col>
      <xdr:colOff>86916</xdr:colOff>
      <xdr:row>30</xdr:row>
      <xdr:rowOff>122634</xdr:rowOff>
    </xdr:to>
    <xdr:cxnSp macro="">
      <xdr:nvCxnSpPr>
        <xdr:cNvPr id="92" name="Straight Connector 91">
          <a:extLst>
            <a:ext uri="{FF2B5EF4-FFF2-40B4-BE49-F238E27FC236}">
              <a16:creationId xmlns:a16="http://schemas.microsoft.com/office/drawing/2014/main" id="{AAB4BEFC-8A09-49AE-A856-8BD07C9276B4}"/>
            </a:ext>
          </a:extLst>
        </xdr:cNvPr>
        <xdr:cNvCxnSpPr/>
      </xdr:nvCxnSpPr>
      <xdr:spPr>
        <a:xfrm>
          <a:off x="19591683" y="3949199"/>
          <a:ext cx="16642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517922</xdr:colOff>
      <xdr:row>35</xdr:row>
      <xdr:rowOff>202406</xdr:rowOff>
    </xdr:from>
    <xdr:to>
      <xdr:col>32</xdr:col>
      <xdr:colOff>517922</xdr:colOff>
      <xdr:row>36</xdr:row>
      <xdr:rowOff>166688</xdr:rowOff>
    </xdr:to>
    <xdr:cxnSp macro="">
      <xdr:nvCxnSpPr>
        <xdr:cNvPr id="93" name="Straight Connector 92">
          <a:extLst>
            <a:ext uri="{FF2B5EF4-FFF2-40B4-BE49-F238E27FC236}">
              <a16:creationId xmlns:a16="http://schemas.microsoft.com/office/drawing/2014/main" id="{FF13037C-0CC1-4B2C-9F89-E427B0DF09E3}"/>
            </a:ext>
          </a:extLst>
        </xdr:cNvPr>
        <xdr:cNvCxnSpPr/>
      </xdr:nvCxnSpPr>
      <xdr:spPr>
        <a:xfrm>
          <a:off x="20189118" y="5221667"/>
          <a:ext cx="0" cy="20447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295275</xdr:colOff>
      <xdr:row>35</xdr:row>
      <xdr:rowOff>200025</xdr:rowOff>
    </xdr:from>
    <xdr:to>
      <xdr:col>35</xdr:col>
      <xdr:colOff>295275</xdr:colOff>
      <xdr:row>36</xdr:row>
      <xdr:rowOff>164307</xdr:rowOff>
    </xdr:to>
    <xdr:cxnSp macro="">
      <xdr:nvCxnSpPr>
        <xdr:cNvPr id="94" name="Straight Connector 93">
          <a:extLst>
            <a:ext uri="{FF2B5EF4-FFF2-40B4-BE49-F238E27FC236}">
              <a16:creationId xmlns:a16="http://schemas.microsoft.com/office/drawing/2014/main" id="{CFB5C6E7-B708-4AA1-B512-C248244101BA}"/>
            </a:ext>
          </a:extLst>
        </xdr:cNvPr>
        <xdr:cNvCxnSpPr/>
      </xdr:nvCxnSpPr>
      <xdr:spPr>
        <a:xfrm>
          <a:off x="21805210" y="5219286"/>
          <a:ext cx="0" cy="20447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31</xdr:col>
      <xdr:colOff>315515</xdr:colOff>
      <xdr:row>29</xdr:row>
      <xdr:rowOff>202406</xdr:rowOff>
    </xdr:from>
    <xdr:ext cx="256160" cy="264560"/>
    <xdr:sp macro="" textlink="">
      <xdr:nvSpPr>
        <xdr:cNvPr id="95" name="TextBox 94">
          <a:extLst>
            <a:ext uri="{FF2B5EF4-FFF2-40B4-BE49-F238E27FC236}">
              <a16:creationId xmlns:a16="http://schemas.microsoft.com/office/drawing/2014/main" id="{0341C473-375D-4DDD-8D70-5AF440A91FE7}"/>
            </a:ext>
          </a:extLst>
        </xdr:cNvPr>
        <xdr:cNvSpPr txBox="1"/>
      </xdr:nvSpPr>
      <xdr:spPr>
        <a:xfrm>
          <a:off x="19373798" y="381362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1</a:t>
          </a:r>
        </a:p>
      </xdr:txBody>
    </xdr:sp>
    <xdr:clientData/>
  </xdr:oneCellAnchor>
  <xdr:oneCellAnchor>
    <xdr:from>
      <xdr:col>31</xdr:col>
      <xdr:colOff>289322</xdr:colOff>
      <xdr:row>28</xdr:row>
      <xdr:rowOff>92868</xdr:rowOff>
    </xdr:from>
    <xdr:ext cx="706925" cy="264560"/>
    <xdr:sp macro="" textlink="">
      <xdr:nvSpPr>
        <xdr:cNvPr id="96" name="TextBox 95">
          <a:extLst>
            <a:ext uri="{FF2B5EF4-FFF2-40B4-BE49-F238E27FC236}">
              <a16:creationId xmlns:a16="http://schemas.microsoft.com/office/drawing/2014/main" id="{E49C9EFC-86E3-4FBD-9DF6-CE36D3B52D1A}"/>
            </a:ext>
          </a:extLst>
        </xdr:cNvPr>
        <xdr:cNvSpPr txBox="1"/>
      </xdr:nvSpPr>
      <xdr:spPr>
        <a:xfrm>
          <a:off x="19347605" y="3488738"/>
          <a:ext cx="706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PM-price</a:t>
          </a:r>
        </a:p>
      </xdr:txBody>
    </xdr:sp>
    <xdr:clientData/>
  </xdr:oneCellAnchor>
  <xdr:oneCellAnchor>
    <xdr:from>
      <xdr:col>36</xdr:col>
      <xdr:colOff>212404</xdr:colOff>
      <xdr:row>35</xdr:row>
      <xdr:rowOff>23190</xdr:rowOff>
    </xdr:from>
    <xdr:ext cx="1158202" cy="436786"/>
    <xdr:sp macro="" textlink="">
      <xdr:nvSpPr>
        <xdr:cNvPr id="97" name="TextBox 96">
          <a:extLst>
            <a:ext uri="{FF2B5EF4-FFF2-40B4-BE49-F238E27FC236}">
              <a16:creationId xmlns:a16="http://schemas.microsoft.com/office/drawing/2014/main" id="{7D23D5DC-14B7-421C-902E-272118EEAC03}"/>
            </a:ext>
          </a:extLst>
        </xdr:cNvPr>
        <xdr:cNvSpPr txBox="1"/>
      </xdr:nvSpPr>
      <xdr:spPr>
        <a:xfrm>
          <a:off x="22716252" y="8140147"/>
          <a:ext cx="115820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Real-world price,</a:t>
          </a:r>
        </a:p>
        <a:p>
          <a:r>
            <a:rPr lang="en-US" sz="1100"/>
            <a:t>in US</a:t>
          </a:r>
          <a:r>
            <a:rPr lang="en-US" sz="1100" baseline="0"/>
            <a:t> cents</a:t>
          </a:r>
          <a:endParaRPr lang="en-US" sz="1100"/>
        </a:p>
      </xdr:txBody>
    </xdr:sp>
    <xdr:clientData/>
  </xdr:oneCellAnchor>
  <xdr:oneCellAnchor>
    <xdr:from>
      <xdr:col>32</xdr:col>
      <xdr:colOff>397156</xdr:colOff>
      <xdr:row>36</xdr:row>
      <xdr:rowOff>111920</xdr:rowOff>
    </xdr:from>
    <xdr:ext cx="256160" cy="264560"/>
    <xdr:sp macro="" textlink="">
      <xdr:nvSpPr>
        <xdr:cNvPr id="98" name="TextBox 97">
          <a:extLst>
            <a:ext uri="{FF2B5EF4-FFF2-40B4-BE49-F238E27FC236}">
              <a16:creationId xmlns:a16="http://schemas.microsoft.com/office/drawing/2014/main" id="{70555F5A-9547-4C83-BEF1-6D799ECDA6A9}"/>
            </a:ext>
          </a:extLst>
        </xdr:cNvPr>
        <xdr:cNvSpPr txBox="1"/>
      </xdr:nvSpPr>
      <xdr:spPr>
        <a:xfrm>
          <a:off x="20068352" y="841937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1</a:t>
          </a:r>
        </a:p>
      </xdr:txBody>
    </xdr:sp>
    <xdr:clientData/>
  </xdr:oneCellAnchor>
  <xdr:oneCellAnchor>
    <xdr:from>
      <xdr:col>35</xdr:col>
      <xdr:colOff>85726</xdr:colOff>
      <xdr:row>36</xdr:row>
      <xdr:rowOff>97632</xdr:rowOff>
    </xdr:from>
    <xdr:ext cx="446341" cy="264560"/>
    <xdr:sp macro="" textlink="">
      <xdr:nvSpPr>
        <xdr:cNvPr id="99" name="TextBox 98">
          <a:extLst>
            <a:ext uri="{FF2B5EF4-FFF2-40B4-BE49-F238E27FC236}">
              <a16:creationId xmlns:a16="http://schemas.microsoft.com/office/drawing/2014/main" id="{0D445949-40F8-4877-B7FB-4D92300A2C59}"/>
            </a:ext>
          </a:extLst>
        </xdr:cNvPr>
        <xdr:cNvSpPr txBox="1"/>
      </xdr:nvSpPr>
      <xdr:spPr>
        <a:xfrm>
          <a:off x="21893835" y="8405089"/>
          <a:ext cx="4463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+INF</a:t>
          </a:r>
        </a:p>
      </xdr:txBody>
    </xdr:sp>
    <xdr:clientData/>
  </xdr:oneCellAnchor>
  <xdr:oneCellAnchor>
    <xdr:from>
      <xdr:col>31</xdr:col>
      <xdr:colOff>325039</xdr:colOff>
      <xdr:row>34</xdr:row>
      <xdr:rowOff>194072</xdr:rowOff>
    </xdr:from>
    <xdr:ext cx="256160" cy="264560"/>
    <xdr:sp macro="" textlink="">
      <xdr:nvSpPr>
        <xdr:cNvPr id="100" name="TextBox 99">
          <a:extLst>
            <a:ext uri="{FF2B5EF4-FFF2-40B4-BE49-F238E27FC236}">
              <a16:creationId xmlns:a16="http://schemas.microsoft.com/office/drawing/2014/main" id="{D394C525-F862-4020-90B4-3076DCC79895}"/>
            </a:ext>
          </a:extLst>
        </xdr:cNvPr>
        <xdr:cNvSpPr txBox="1"/>
      </xdr:nvSpPr>
      <xdr:spPr>
        <a:xfrm>
          <a:off x="19383322" y="497313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0</a:t>
          </a:r>
        </a:p>
      </xdr:txBody>
    </xdr:sp>
    <xdr:clientData/>
  </xdr:oneCellAnchor>
  <xdr:twoCellAnchor>
    <xdr:from>
      <xdr:col>32</xdr:col>
      <xdr:colOff>45809</xdr:colOff>
      <xdr:row>35</xdr:row>
      <xdr:rowOff>107830</xdr:rowOff>
    </xdr:from>
    <xdr:to>
      <xdr:col>32</xdr:col>
      <xdr:colOff>513990</xdr:colOff>
      <xdr:row>35</xdr:row>
      <xdr:rowOff>108594</xdr:rowOff>
    </xdr:to>
    <xdr:cxnSp macro="">
      <xdr:nvCxnSpPr>
        <xdr:cNvPr id="102" name="Straight Connector 101">
          <a:extLst>
            <a:ext uri="{FF2B5EF4-FFF2-40B4-BE49-F238E27FC236}">
              <a16:creationId xmlns:a16="http://schemas.microsoft.com/office/drawing/2014/main" id="{E846435A-3C40-497D-8320-F166A93D3D94}"/>
            </a:ext>
          </a:extLst>
        </xdr:cNvPr>
        <xdr:cNvCxnSpPr/>
      </xdr:nvCxnSpPr>
      <xdr:spPr>
        <a:xfrm flipV="1">
          <a:off x="19717005" y="5127091"/>
          <a:ext cx="468181" cy="764"/>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142876</xdr:colOff>
      <xdr:row>30</xdr:row>
      <xdr:rowOff>125015</xdr:rowOff>
    </xdr:from>
    <xdr:to>
      <xdr:col>35</xdr:col>
      <xdr:colOff>226219</xdr:colOff>
      <xdr:row>30</xdr:row>
      <xdr:rowOff>125016</xdr:rowOff>
    </xdr:to>
    <xdr:cxnSp macro="">
      <xdr:nvCxnSpPr>
        <xdr:cNvPr id="103" name="Straight Connector 102">
          <a:extLst>
            <a:ext uri="{FF2B5EF4-FFF2-40B4-BE49-F238E27FC236}">
              <a16:creationId xmlns:a16="http://schemas.microsoft.com/office/drawing/2014/main" id="{51C17BD0-64CB-41A2-9BF9-A0F24A6E726C}"/>
            </a:ext>
          </a:extLst>
        </xdr:cNvPr>
        <xdr:cNvCxnSpPr/>
      </xdr:nvCxnSpPr>
      <xdr:spPr>
        <a:xfrm>
          <a:off x="19814072" y="3951580"/>
          <a:ext cx="1922082" cy="1"/>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78581</xdr:colOff>
      <xdr:row>36</xdr:row>
      <xdr:rowOff>205772</xdr:rowOff>
    </xdr:from>
    <xdr:ext cx="1237059" cy="452437"/>
    <xdr:sp macro="" textlink="">
      <xdr:nvSpPr>
        <xdr:cNvPr id="104" name="TextBox 103">
          <a:extLst>
            <a:ext uri="{FF2B5EF4-FFF2-40B4-BE49-F238E27FC236}">
              <a16:creationId xmlns:a16="http://schemas.microsoft.com/office/drawing/2014/main" id="{1F94FE98-9355-42D7-A0A3-2019A4879FCA}"/>
            </a:ext>
          </a:extLst>
        </xdr:cNvPr>
        <xdr:cNvSpPr txBox="1"/>
      </xdr:nvSpPr>
      <xdr:spPr>
        <a:xfrm>
          <a:off x="16229668" y="5465229"/>
          <a:ext cx="1237059" cy="452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700"/>
            <a:t>(when the lowest value x can take</a:t>
          </a:r>
          <a:r>
            <a:rPr lang="en-US" sz="700" baseline="0"/>
            <a:t> is 1, and the highest value x can take is +INF)</a:t>
          </a:r>
          <a:endParaRPr lang="en-US" sz="700"/>
        </a:p>
      </xdr:txBody>
    </xdr:sp>
    <xdr:clientData/>
  </xdr:oneCellAnchor>
  <xdr:twoCellAnchor>
    <xdr:from>
      <xdr:col>35</xdr:col>
      <xdr:colOff>297655</xdr:colOff>
      <xdr:row>30</xdr:row>
      <xdr:rowOff>214312</xdr:rowOff>
    </xdr:from>
    <xdr:to>
      <xdr:col>35</xdr:col>
      <xdr:colOff>303608</xdr:colOff>
      <xdr:row>35</xdr:row>
      <xdr:rowOff>136920</xdr:rowOff>
    </xdr:to>
    <xdr:cxnSp macro="">
      <xdr:nvCxnSpPr>
        <xdr:cNvPr id="106" name="Straight Connector 105">
          <a:extLst>
            <a:ext uri="{FF2B5EF4-FFF2-40B4-BE49-F238E27FC236}">
              <a16:creationId xmlns:a16="http://schemas.microsoft.com/office/drawing/2014/main" id="{B29412D0-9840-4AA1-AE0D-19BD04A01CD4}"/>
            </a:ext>
          </a:extLst>
        </xdr:cNvPr>
        <xdr:cNvCxnSpPr/>
      </xdr:nvCxnSpPr>
      <xdr:spPr>
        <a:xfrm flipV="1">
          <a:off x="21807590" y="4031352"/>
          <a:ext cx="5953" cy="1124829"/>
        </a:xfrm>
        <a:prstGeom prst="line">
          <a:avLst/>
        </a:prstGeom>
        <a:ln w="6350">
          <a:solidFill>
            <a:schemeClr val="bg1">
              <a:lumMod val="50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523382</xdr:colOff>
      <xdr:row>30</xdr:row>
      <xdr:rowOff>140787</xdr:rowOff>
    </xdr:from>
    <xdr:to>
      <xdr:col>35</xdr:col>
      <xdr:colOff>314740</xdr:colOff>
      <xdr:row>35</xdr:row>
      <xdr:rowOff>115954</xdr:rowOff>
    </xdr:to>
    <xdr:sp macro="" textlink="">
      <xdr:nvSpPr>
        <xdr:cNvPr id="107" name="Freeform: Shape 106">
          <a:extLst>
            <a:ext uri="{FF2B5EF4-FFF2-40B4-BE49-F238E27FC236}">
              <a16:creationId xmlns:a16="http://schemas.microsoft.com/office/drawing/2014/main" id="{A8FC6B55-20A4-407F-BA69-A1FE95BB4ED6}"/>
            </a:ext>
          </a:extLst>
        </xdr:cNvPr>
        <xdr:cNvSpPr/>
      </xdr:nvSpPr>
      <xdr:spPr>
        <a:xfrm>
          <a:off x="20252556" y="7106461"/>
          <a:ext cx="2259575" cy="1126450"/>
        </a:xfrm>
        <a:custGeom>
          <a:avLst/>
          <a:gdLst>
            <a:gd name="connsiteX0" fmla="*/ 4373 w 1627765"/>
            <a:gd name="connsiteY0" fmla="*/ 1168271 h 1168271"/>
            <a:gd name="connsiteX1" fmla="*/ 252852 w 1627765"/>
            <a:gd name="connsiteY1" fmla="*/ 190924 h 1168271"/>
            <a:gd name="connsiteX2" fmla="*/ 1627765 w 1627765"/>
            <a:gd name="connsiteY2" fmla="*/ 424 h 1168271"/>
            <a:gd name="connsiteX0" fmla="*/ 50365 w 1673757"/>
            <a:gd name="connsiteY0" fmla="*/ 1229388 h 1229388"/>
            <a:gd name="connsiteX1" fmla="*/ 161707 w 1673757"/>
            <a:gd name="connsiteY1" fmla="*/ 97475 h 1229388"/>
            <a:gd name="connsiteX2" fmla="*/ 1673757 w 1673757"/>
            <a:gd name="connsiteY2" fmla="*/ 61541 h 1229388"/>
            <a:gd name="connsiteX0" fmla="*/ 64799 w 1688191"/>
            <a:gd name="connsiteY0" fmla="*/ 1178566 h 1178566"/>
            <a:gd name="connsiteX1" fmla="*/ 176141 w 1688191"/>
            <a:gd name="connsiteY1" fmla="*/ 46653 h 1178566"/>
            <a:gd name="connsiteX2" fmla="*/ 1688191 w 1688191"/>
            <a:gd name="connsiteY2" fmla="*/ 10719 h 1178566"/>
            <a:gd name="connsiteX0" fmla="*/ 72084 w 1695476"/>
            <a:gd name="connsiteY0" fmla="*/ 1178566 h 1178566"/>
            <a:gd name="connsiteX1" fmla="*/ 14049 w 1695476"/>
            <a:gd name="connsiteY1" fmla="*/ 268346 h 1178566"/>
            <a:gd name="connsiteX2" fmla="*/ 183426 w 1695476"/>
            <a:gd name="connsiteY2" fmla="*/ 46653 h 1178566"/>
            <a:gd name="connsiteX3" fmla="*/ 1695476 w 1695476"/>
            <a:gd name="connsiteY3" fmla="*/ 10719 h 1178566"/>
            <a:gd name="connsiteX0" fmla="*/ 61270 w 1684662"/>
            <a:gd name="connsiteY0" fmla="*/ 1168155 h 1168155"/>
            <a:gd name="connsiteX1" fmla="*/ 3235 w 1684662"/>
            <a:gd name="connsiteY1" fmla="*/ 257935 h 1168155"/>
            <a:gd name="connsiteX2" fmla="*/ 542288 w 1684662"/>
            <a:gd name="connsiteY2" fmla="*/ 79177 h 1168155"/>
            <a:gd name="connsiteX3" fmla="*/ 1684662 w 1684662"/>
            <a:gd name="connsiteY3" fmla="*/ 308 h 1168155"/>
            <a:gd name="connsiteX0" fmla="*/ 3651 w 1627043"/>
            <a:gd name="connsiteY0" fmla="*/ 1167907 h 1167907"/>
            <a:gd name="connsiteX1" fmla="*/ 23129 w 1627043"/>
            <a:gd name="connsiteY1" fmla="*/ 171817 h 1167907"/>
            <a:gd name="connsiteX2" fmla="*/ 484669 w 1627043"/>
            <a:gd name="connsiteY2" fmla="*/ 78929 h 1167907"/>
            <a:gd name="connsiteX3" fmla="*/ 1627043 w 1627043"/>
            <a:gd name="connsiteY3" fmla="*/ 60 h 1167907"/>
            <a:gd name="connsiteX0" fmla="*/ 3651 w 1627043"/>
            <a:gd name="connsiteY0" fmla="*/ 1174382 h 1174382"/>
            <a:gd name="connsiteX1" fmla="*/ 23129 w 1627043"/>
            <a:gd name="connsiteY1" fmla="*/ 178292 h 1174382"/>
            <a:gd name="connsiteX2" fmla="*/ 574106 w 1627043"/>
            <a:gd name="connsiteY2" fmla="*/ 16708 h 1174382"/>
            <a:gd name="connsiteX3" fmla="*/ 1627043 w 1627043"/>
            <a:gd name="connsiteY3" fmla="*/ 6535 h 1174382"/>
            <a:gd name="connsiteX0" fmla="*/ 3651 w 1627043"/>
            <a:gd name="connsiteY0" fmla="*/ 1168143 h 1168143"/>
            <a:gd name="connsiteX1" fmla="*/ 23129 w 1627043"/>
            <a:gd name="connsiteY1" fmla="*/ 172053 h 1168143"/>
            <a:gd name="connsiteX2" fmla="*/ 574106 w 1627043"/>
            <a:gd name="connsiteY2" fmla="*/ 10469 h 1168143"/>
            <a:gd name="connsiteX3" fmla="*/ 1627043 w 1627043"/>
            <a:gd name="connsiteY3" fmla="*/ 296 h 1168143"/>
            <a:gd name="connsiteX0" fmla="*/ 3651 w 1627043"/>
            <a:gd name="connsiteY0" fmla="*/ 1174383 h 1174383"/>
            <a:gd name="connsiteX1" fmla="*/ 23129 w 1627043"/>
            <a:gd name="connsiteY1" fmla="*/ 178293 h 1174383"/>
            <a:gd name="connsiteX2" fmla="*/ 574106 w 1627043"/>
            <a:gd name="connsiteY2" fmla="*/ 16709 h 1174383"/>
            <a:gd name="connsiteX3" fmla="*/ 1627043 w 1627043"/>
            <a:gd name="connsiteY3" fmla="*/ 6536 h 1174383"/>
            <a:gd name="connsiteX0" fmla="*/ 3651 w 1627043"/>
            <a:gd name="connsiteY0" fmla="*/ 1168015 h 1168015"/>
            <a:gd name="connsiteX1" fmla="*/ 23129 w 1627043"/>
            <a:gd name="connsiteY1" fmla="*/ 171925 h 1168015"/>
            <a:gd name="connsiteX2" fmla="*/ 574106 w 1627043"/>
            <a:gd name="connsiteY2" fmla="*/ 10341 h 1168015"/>
            <a:gd name="connsiteX3" fmla="*/ 1627043 w 1627043"/>
            <a:gd name="connsiteY3" fmla="*/ 168 h 1168015"/>
            <a:gd name="connsiteX0" fmla="*/ 3651 w 1627043"/>
            <a:gd name="connsiteY0" fmla="*/ 1171075 h 1171075"/>
            <a:gd name="connsiteX1" fmla="*/ 23129 w 1627043"/>
            <a:gd name="connsiteY1" fmla="*/ 174985 h 1171075"/>
            <a:gd name="connsiteX2" fmla="*/ 574106 w 1627043"/>
            <a:gd name="connsiteY2" fmla="*/ 13401 h 1171075"/>
            <a:gd name="connsiteX3" fmla="*/ 1627043 w 1627043"/>
            <a:gd name="connsiteY3" fmla="*/ 3228 h 1171075"/>
            <a:gd name="connsiteX0" fmla="*/ 108382 w 1731774"/>
            <a:gd name="connsiteY0" fmla="*/ 1167847 h 1167847"/>
            <a:gd name="connsiteX1" fmla="*/ 127860 w 1731774"/>
            <a:gd name="connsiteY1" fmla="*/ 171757 h 1167847"/>
            <a:gd name="connsiteX2" fmla="*/ 1731774 w 1731774"/>
            <a:gd name="connsiteY2" fmla="*/ 0 h 1167847"/>
            <a:gd name="connsiteX0" fmla="*/ 108382 w 1731774"/>
            <a:gd name="connsiteY0" fmla="*/ 1167847 h 1167847"/>
            <a:gd name="connsiteX1" fmla="*/ 127860 w 1731774"/>
            <a:gd name="connsiteY1" fmla="*/ 171757 h 1167847"/>
            <a:gd name="connsiteX2" fmla="*/ 1731774 w 1731774"/>
            <a:gd name="connsiteY2" fmla="*/ 0 h 1167847"/>
            <a:gd name="connsiteX0" fmla="*/ 38714 w 1662106"/>
            <a:gd name="connsiteY0" fmla="*/ 1167847 h 1167847"/>
            <a:gd name="connsiteX1" fmla="*/ 171480 w 1662106"/>
            <a:gd name="connsiteY1" fmla="*/ 171757 h 1167847"/>
            <a:gd name="connsiteX2" fmla="*/ 1662106 w 1662106"/>
            <a:gd name="connsiteY2" fmla="*/ 0 h 1167847"/>
            <a:gd name="connsiteX0" fmla="*/ 54564 w 1677956"/>
            <a:gd name="connsiteY0" fmla="*/ 1202853 h 1202853"/>
            <a:gd name="connsiteX1" fmla="*/ 157517 w 1677956"/>
            <a:gd name="connsiteY1" fmla="*/ 95132 h 1202853"/>
            <a:gd name="connsiteX2" fmla="*/ 1677956 w 1677956"/>
            <a:gd name="connsiteY2" fmla="*/ 35006 h 1202853"/>
            <a:gd name="connsiteX0" fmla="*/ 1188 w 1624580"/>
            <a:gd name="connsiteY0" fmla="*/ 1216786 h 1216786"/>
            <a:gd name="connsiteX1" fmla="*/ 104141 w 1624580"/>
            <a:gd name="connsiteY1" fmla="*/ 109065 h 1216786"/>
            <a:gd name="connsiteX2" fmla="*/ 1624580 w 1624580"/>
            <a:gd name="connsiteY2" fmla="*/ 48939 h 1216786"/>
            <a:gd name="connsiteX0" fmla="*/ 896 w 1624288"/>
            <a:gd name="connsiteY0" fmla="*/ 1167847 h 1167847"/>
            <a:gd name="connsiteX1" fmla="*/ 103849 w 1624288"/>
            <a:gd name="connsiteY1" fmla="*/ 60126 h 1167847"/>
            <a:gd name="connsiteX2" fmla="*/ 1624288 w 1624288"/>
            <a:gd name="connsiteY2" fmla="*/ 0 h 1167847"/>
            <a:gd name="connsiteX0" fmla="*/ 7231 w 1630623"/>
            <a:gd name="connsiteY0" fmla="*/ 1175476 h 1175476"/>
            <a:gd name="connsiteX1" fmla="*/ 32672 w 1630623"/>
            <a:gd name="connsiteY1" fmla="*/ 24820 h 1175476"/>
            <a:gd name="connsiteX2" fmla="*/ 1630623 w 1630623"/>
            <a:gd name="connsiteY2" fmla="*/ 7629 h 1175476"/>
            <a:gd name="connsiteX0" fmla="*/ 3238 w 1626630"/>
            <a:gd name="connsiteY0" fmla="*/ 1167847 h 1167847"/>
            <a:gd name="connsiteX1" fmla="*/ 46567 w 1626630"/>
            <a:gd name="connsiteY1" fmla="*/ 42952 h 1167847"/>
            <a:gd name="connsiteX2" fmla="*/ 1626630 w 1626630"/>
            <a:gd name="connsiteY2" fmla="*/ 0 h 1167847"/>
          </a:gdLst>
          <a:ahLst/>
          <a:cxnLst>
            <a:cxn ang="0">
              <a:pos x="connsiteX0" y="connsiteY0"/>
            </a:cxn>
            <a:cxn ang="0">
              <a:pos x="connsiteX1" y="connsiteY1"/>
            </a:cxn>
            <a:cxn ang="0">
              <a:pos x="connsiteX2" y="connsiteY2"/>
            </a:cxn>
          </a:cxnLst>
          <a:rect l="l" t="t" r="r" b="b"/>
          <a:pathLst>
            <a:path w="1626630" h="1167847">
              <a:moveTo>
                <a:pt x="3238" y="1167847"/>
              </a:moveTo>
              <a:cubicBezTo>
                <a:pt x="-6434" y="1016144"/>
                <a:pt x="4870" y="116216"/>
                <a:pt x="46567" y="42952"/>
              </a:cubicBezTo>
              <a:cubicBezTo>
                <a:pt x="82535" y="-20245"/>
                <a:pt x="1292481" y="35783"/>
                <a:pt x="1626630" y="0"/>
              </a:cubicBezTo>
            </a:path>
          </a:pathLst>
        </a:cu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40839</xdr:colOff>
      <xdr:row>30</xdr:row>
      <xdr:rowOff>135990</xdr:rowOff>
    </xdr:from>
    <xdr:to>
      <xdr:col>32</xdr:col>
      <xdr:colOff>509020</xdr:colOff>
      <xdr:row>30</xdr:row>
      <xdr:rowOff>136754</xdr:rowOff>
    </xdr:to>
    <xdr:cxnSp macro="">
      <xdr:nvCxnSpPr>
        <xdr:cNvPr id="110" name="Straight Connector 109">
          <a:extLst>
            <a:ext uri="{FF2B5EF4-FFF2-40B4-BE49-F238E27FC236}">
              <a16:creationId xmlns:a16="http://schemas.microsoft.com/office/drawing/2014/main" id="{FFF5584C-E0A6-430B-9196-BBE690C114B6}"/>
            </a:ext>
          </a:extLst>
        </xdr:cNvPr>
        <xdr:cNvCxnSpPr/>
      </xdr:nvCxnSpPr>
      <xdr:spPr>
        <a:xfrm flipV="1">
          <a:off x="19712035" y="3962555"/>
          <a:ext cx="468181" cy="76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463826</xdr:colOff>
      <xdr:row>31</xdr:row>
      <xdr:rowOff>157370</xdr:rowOff>
    </xdr:from>
    <xdr:to>
      <xdr:col>37</xdr:col>
      <xdr:colOff>281608</xdr:colOff>
      <xdr:row>35</xdr:row>
      <xdr:rowOff>41413</xdr:rowOff>
    </xdr:to>
    <xdr:cxnSp macro="">
      <xdr:nvCxnSpPr>
        <xdr:cNvPr id="112" name="Straight Connector 111">
          <a:extLst>
            <a:ext uri="{FF2B5EF4-FFF2-40B4-BE49-F238E27FC236}">
              <a16:creationId xmlns:a16="http://schemas.microsoft.com/office/drawing/2014/main" id="{09DBA2EE-1107-4976-8C74-9971A5B9BCEC}"/>
            </a:ext>
          </a:extLst>
        </xdr:cNvPr>
        <xdr:cNvCxnSpPr/>
      </xdr:nvCxnSpPr>
      <xdr:spPr>
        <a:xfrm flipV="1">
          <a:off x="21965478" y="7330109"/>
          <a:ext cx="1905000" cy="82826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518413</xdr:colOff>
      <xdr:row>30</xdr:row>
      <xdr:rowOff>144114</xdr:rowOff>
    </xdr:from>
    <xdr:to>
      <xdr:col>35</xdr:col>
      <xdr:colOff>309771</xdr:colOff>
      <xdr:row>35</xdr:row>
      <xdr:rowOff>124238</xdr:rowOff>
    </xdr:to>
    <xdr:sp macro="" textlink="">
      <xdr:nvSpPr>
        <xdr:cNvPr id="113" name="Freeform: Shape 112">
          <a:extLst>
            <a:ext uri="{FF2B5EF4-FFF2-40B4-BE49-F238E27FC236}">
              <a16:creationId xmlns:a16="http://schemas.microsoft.com/office/drawing/2014/main" id="{F228851B-D55D-47A6-808E-C55296C10283}"/>
            </a:ext>
          </a:extLst>
        </xdr:cNvPr>
        <xdr:cNvSpPr/>
      </xdr:nvSpPr>
      <xdr:spPr>
        <a:xfrm flipV="1">
          <a:off x="20247587" y="7109788"/>
          <a:ext cx="2259575" cy="1131407"/>
        </a:xfrm>
        <a:custGeom>
          <a:avLst/>
          <a:gdLst>
            <a:gd name="connsiteX0" fmla="*/ 4373 w 1627765"/>
            <a:gd name="connsiteY0" fmla="*/ 1168271 h 1168271"/>
            <a:gd name="connsiteX1" fmla="*/ 252852 w 1627765"/>
            <a:gd name="connsiteY1" fmla="*/ 190924 h 1168271"/>
            <a:gd name="connsiteX2" fmla="*/ 1627765 w 1627765"/>
            <a:gd name="connsiteY2" fmla="*/ 424 h 1168271"/>
            <a:gd name="connsiteX0" fmla="*/ 50365 w 1673757"/>
            <a:gd name="connsiteY0" fmla="*/ 1229388 h 1229388"/>
            <a:gd name="connsiteX1" fmla="*/ 161707 w 1673757"/>
            <a:gd name="connsiteY1" fmla="*/ 97475 h 1229388"/>
            <a:gd name="connsiteX2" fmla="*/ 1673757 w 1673757"/>
            <a:gd name="connsiteY2" fmla="*/ 61541 h 1229388"/>
            <a:gd name="connsiteX0" fmla="*/ 64799 w 1688191"/>
            <a:gd name="connsiteY0" fmla="*/ 1178566 h 1178566"/>
            <a:gd name="connsiteX1" fmla="*/ 176141 w 1688191"/>
            <a:gd name="connsiteY1" fmla="*/ 46653 h 1178566"/>
            <a:gd name="connsiteX2" fmla="*/ 1688191 w 1688191"/>
            <a:gd name="connsiteY2" fmla="*/ 10719 h 1178566"/>
            <a:gd name="connsiteX0" fmla="*/ 72084 w 1695476"/>
            <a:gd name="connsiteY0" fmla="*/ 1178566 h 1178566"/>
            <a:gd name="connsiteX1" fmla="*/ 14049 w 1695476"/>
            <a:gd name="connsiteY1" fmla="*/ 268346 h 1178566"/>
            <a:gd name="connsiteX2" fmla="*/ 183426 w 1695476"/>
            <a:gd name="connsiteY2" fmla="*/ 46653 h 1178566"/>
            <a:gd name="connsiteX3" fmla="*/ 1695476 w 1695476"/>
            <a:gd name="connsiteY3" fmla="*/ 10719 h 1178566"/>
            <a:gd name="connsiteX0" fmla="*/ 61270 w 1684662"/>
            <a:gd name="connsiteY0" fmla="*/ 1168155 h 1168155"/>
            <a:gd name="connsiteX1" fmla="*/ 3235 w 1684662"/>
            <a:gd name="connsiteY1" fmla="*/ 257935 h 1168155"/>
            <a:gd name="connsiteX2" fmla="*/ 542288 w 1684662"/>
            <a:gd name="connsiteY2" fmla="*/ 79177 h 1168155"/>
            <a:gd name="connsiteX3" fmla="*/ 1684662 w 1684662"/>
            <a:gd name="connsiteY3" fmla="*/ 308 h 1168155"/>
            <a:gd name="connsiteX0" fmla="*/ 3651 w 1627043"/>
            <a:gd name="connsiteY0" fmla="*/ 1167907 h 1167907"/>
            <a:gd name="connsiteX1" fmla="*/ 23129 w 1627043"/>
            <a:gd name="connsiteY1" fmla="*/ 171817 h 1167907"/>
            <a:gd name="connsiteX2" fmla="*/ 484669 w 1627043"/>
            <a:gd name="connsiteY2" fmla="*/ 78929 h 1167907"/>
            <a:gd name="connsiteX3" fmla="*/ 1627043 w 1627043"/>
            <a:gd name="connsiteY3" fmla="*/ 60 h 1167907"/>
            <a:gd name="connsiteX0" fmla="*/ 3651 w 1627043"/>
            <a:gd name="connsiteY0" fmla="*/ 1174382 h 1174382"/>
            <a:gd name="connsiteX1" fmla="*/ 23129 w 1627043"/>
            <a:gd name="connsiteY1" fmla="*/ 178292 h 1174382"/>
            <a:gd name="connsiteX2" fmla="*/ 574106 w 1627043"/>
            <a:gd name="connsiteY2" fmla="*/ 16708 h 1174382"/>
            <a:gd name="connsiteX3" fmla="*/ 1627043 w 1627043"/>
            <a:gd name="connsiteY3" fmla="*/ 6535 h 1174382"/>
            <a:gd name="connsiteX0" fmla="*/ 3651 w 1627043"/>
            <a:gd name="connsiteY0" fmla="*/ 1168143 h 1168143"/>
            <a:gd name="connsiteX1" fmla="*/ 23129 w 1627043"/>
            <a:gd name="connsiteY1" fmla="*/ 172053 h 1168143"/>
            <a:gd name="connsiteX2" fmla="*/ 574106 w 1627043"/>
            <a:gd name="connsiteY2" fmla="*/ 10469 h 1168143"/>
            <a:gd name="connsiteX3" fmla="*/ 1627043 w 1627043"/>
            <a:gd name="connsiteY3" fmla="*/ 296 h 1168143"/>
            <a:gd name="connsiteX0" fmla="*/ 3651 w 1627043"/>
            <a:gd name="connsiteY0" fmla="*/ 1174383 h 1174383"/>
            <a:gd name="connsiteX1" fmla="*/ 23129 w 1627043"/>
            <a:gd name="connsiteY1" fmla="*/ 178293 h 1174383"/>
            <a:gd name="connsiteX2" fmla="*/ 574106 w 1627043"/>
            <a:gd name="connsiteY2" fmla="*/ 16709 h 1174383"/>
            <a:gd name="connsiteX3" fmla="*/ 1627043 w 1627043"/>
            <a:gd name="connsiteY3" fmla="*/ 6536 h 1174383"/>
            <a:gd name="connsiteX0" fmla="*/ 3651 w 1627043"/>
            <a:gd name="connsiteY0" fmla="*/ 1168015 h 1168015"/>
            <a:gd name="connsiteX1" fmla="*/ 23129 w 1627043"/>
            <a:gd name="connsiteY1" fmla="*/ 171925 h 1168015"/>
            <a:gd name="connsiteX2" fmla="*/ 574106 w 1627043"/>
            <a:gd name="connsiteY2" fmla="*/ 10341 h 1168015"/>
            <a:gd name="connsiteX3" fmla="*/ 1627043 w 1627043"/>
            <a:gd name="connsiteY3" fmla="*/ 168 h 1168015"/>
            <a:gd name="connsiteX0" fmla="*/ 3651 w 1627043"/>
            <a:gd name="connsiteY0" fmla="*/ 1171075 h 1171075"/>
            <a:gd name="connsiteX1" fmla="*/ 23129 w 1627043"/>
            <a:gd name="connsiteY1" fmla="*/ 174985 h 1171075"/>
            <a:gd name="connsiteX2" fmla="*/ 574106 w 1627043"/>
            <a:gd name="connsiteY2" fmla="*/ 13401 h 1171075"/>
            <a:gd name="connsiteX3" fmla="*/ 1627043 w 1627043"/>
            <a:gd name="connsiteY3" fmla="*/ 3228 h 1171075"/>
            <a:gd name="connsiteX0" fmla="*/ 108382 w 1731774"/>
            <a:gd name="connsiteY0" fmla="*/ 1167847 h 1167847"/>
            <a:gd name="connsiteX1" fmla="*/ 127860 w 1731774"/>
            <a:gd name="connsiteY1" fmla="*/ 171757 h 1167847"/>
            <a:gd name="connsiteX2" fmla="*/ 1731774 w 1731774"/>
            <a:gd name="connsiteY2" fmla="*/ 0 h 1167847"/>
            <a:gd name="connsiteX0" fmla="*/ 108382 w 1731774"/>
            <a:gd name="connsiteY0" fmla="*/ 1167847 h 1167847"/>
            <a:gd name="connsiteX1" fmla="*/ 127860 w 1731774"/>
            <a:gd name="connsiteY1" fmla="*/ 171757 h 1167847"/>
            <a:gd name="connsiteX2" fmla="*/ 1731774 w 1731774"/>
            <a:gd name="connsiteY2" fmla="*/ 0 h 1167847"/>
            <a:gd name="connsiteX0" fmla="*/ 38714 w 1662106"/>
            <a:gd name="connsiteY0" fmla="*/ 1167847 h 1167847"/>
            <a:gd name="connsiteX1" fmla="*/ 171480 w 1662106"/>
            <a:gd name="connsiteY1" fmla="*/ 171757 h 1167847"/>
            <a:gd name="connsiteX2" fmla="*/ 1662106 w 1662106"/>
            <a:gd name="connsiteY2" fmla="*/ 0 h 1167847"/>
            <a:gd name="connsiteX0" fmla="*/ 54564 w 1677956"/>
            <a:gd name="connsiteY0" fmla="*/ 1202853 h 1202853"/>
            <a:gd name="connsiteX1" fmla="*/ 157517 w 1677956"/>
            <a:gd name="connsiteY1" fmla="*/ 95132 h 1202853"/>
            <a:gd name="connsiteX2" fmla="*/ 1677956 w 1677956"/>
            <a:gd name="connsiteY2" fmla="*/ 35006 h 1202853"/>
            <a:gd name="connsiteX0" fmla="*/ 1188 w 1624580"/>
            <a:gd name="connsiteY0" fmla="*/ 1216786 h 1216786"/>
            <a:gd name="connsiteX1" fmla="*/ 104141 w 1624580"/>
            <a:gd name="connsiteY1" fmla="*/ 109065 h 1216786"/>
            <a:gd name="connsiteX2" fmla="*/ 1624580 w 1624580"/>
            <a:gd name="connsiteY2" fmla="*/ 48939 h 1216786"/>
            <a:gd name="connsiteX0" fmla="*/ 896 w 1624288"/>
            <a:gd name="connsiteY0" fmla="*/ 1167847 h 1167847"/>
            <a:gd name="connsiteX1" fmla="*/ 103849 w 1624288"/>
            <a:gd name="connsiteY1" fmla="*/ 60126 h 1167847"/>
            <a:gd name="connsiteX2" fmla="*/ 1624288 w 1624288"/>
            <a:gd name="connsiteY2" fmla="*/ 0 h 1167847"/>
            <a:gd name="connsiteX0" fmla="*/ 7231 w 1630623"/>
            <a:gd name="connsiteY0" fmla="*/ 1175476 h 1175476"/>
            <a:gd name="connsiteX1" fmla="*/ 32672 w 1630623"/>
            <a:gd name="connsiteY1" fmla="*/ 24820 h 1175476"/>
            <a:gd name="connsiteX2" fmla="*/ 1630623 w 1630623"/>
            <a:gd name="connsiteY2" fmla="*/ 7629 h 1175476"/>
            <a:gd name="connsiteX0" fmla="*/ 3238 w 1626630"/>
            <a:gd name="connsiteY0" fmla="*/ 1167847 h 1167847"/>
            <a:gd name="connsiteX1" fmla="*/ 46567 w 1626630"/>
            <a:gd name="connsiteY1" fmla="*/ 42952 h 1167847"/>
            <a:gd name="connsiteX2" fmla="*/ 1626630 w 1626630"/>
            <a:gd name="connsiteY2" fmla="*/ 0 h 1167847"/>
          </a:gdLst>
          <a:ahLst/>
          <a:cxnLst>
            <a:cxn ang="0">
              <a:pos x="connsiteX0" y="connsiteY0"/>
            </a:cxn>
            <a:cxn ang="0">
              <a:pos x="connsiteX1" y="connsiteY1"/>
            </a:cxn>
            <a:cxn ang="0">
              <a:pos x="connsiteX2" y="connsiteY2"/>
            </a:cxn>
          </a:cxnLst>
          <a:rect l="l" t="t" r="r" b="b"/>
          <a:pathLst>
            <a:path w="1626630" h="1167847">
              <a:moveTo>
                <a:pt x="3238" y="1167847"/>
              </a:moveTo>
              <a:cubicBezTo>
                <a:pt x="-6434" y="1016144"/>
                <a:pt x="4870" y="116216"/>
                <a:pt x="46567" y="42952"/>
              </a:cubicBezTo>
              <a:cubicBezTo>
                <a:pt x="82535" y="-20245"/>
                <a:pt x="1292481" y="35783"/>
                <a:pt x="162663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371060</xdr:colOff>
      <xdr:row>30</xdr:row>
      <xdr:rowOff>89452</xdr:rowOff>
    </xdr:from>
    <xdr:to>
      <xdr:col>38</xdr:col>
      <xdr:colOff>795131</xdr:colOff>
      <xdr:row>32</xdr:row>
      <xdr:rowOff>74544</xdr:rowOff>
    </xdr:to>
    <xdr:sp macro="" textlink="">
      <xdr:nvSpPr>
        <xdr:cNvPr id="115" name="TextBox 114">
          <a:extLst>
            <a:ext uri="{FF2B5EF4-FFF2-40B4-BE49-F238E27FC236}">
              <a16:creationId xmlns:a16="http://schemas.microsoft.com/office/drawing/2014/main" id="{25ADC1E8-B150-4E97-9ED0-7FFBFFB15408}"/>
            </a:ext>
          </a:extLst>
        </xdr:cNvPr>
        <xdr:cNvSpPr txBox="1"/>
      </xdr:nvSpPr>
      <xdr:spPr>
        <a:xfrm>
          <a:off x="23959930" y="7055126"/>
          <a:ext cx="1509092" cy="440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Portfolio Replication --</a:t>
          </a:r>
          <a:br>
            <a:rPr lang="en-US" sz="1100">
              <a:solidFill>
                <a:srgbClr val="FF0000"/>
              </a:solidFill>
            </a:rPr>
          </a:br>
          <a:r>
            <a:rPr lang="en-US" sz="1100">
              <a:solidFill>
                <a:srgbClr val="FF0000"/>
              </a:solidFill>
            </a:rPr>
            <a:t>(a "Trustless Short")</a:t>
          </a:r>
        </a:p>
      </xdr:txBody>
    </xdr:sp>
    <xdr:clientData/>
  </xdr:twoCellAnchor>
  <xdr:twoCellAnchor>
    <xdr:from>
      <xdr:col>23</xdr:col>
      <xdr:colOff>34637</xdr:colOff>
      <xdr:row>1</xdr:row>
      <xdr:rowOff>311727</xdr:rowOff>
    </xdr:from>
    <xdr:to>
      <xdr:col>28</xdr:col>
      <xdr:colOff>502226</xdr:colOff>
      <xdr:row>8</xdr:row>
      <xdr:rowOff>17318</xdr:rowOff>
    </xdr:to>
    <xdr:cxnSp macro="">
      <xdr:nvCxnSpPr>
        <xdr:cNvPr id="7" name="Straight Arrow Connector 6">
          <a:extLst>
            <a:ext uri="{FF2B5EF4-FFF2-40B4-BE49-F238E27FC236}">
              <a16:creationId xmlns:a16="http://schemas.microsoft.com/office/drawing/2014/main" id="{FFDC520B-7829-4CA8-93A8-4B2769A2F31D}"/>
            </a:ext>
          </a:extLst>
        </xdr:cNvPr>
        <xdr:cNvCxnSpPr/>
      </xdr:nvCxnSpPr>
      <xdr:spPr>
        <a:xfrm flipV="1">
          <a:off x="12538364" y="502227"/>
          <a:ext cx="3636817" cy="1472046"/>
        </a:xfrm>
        <a:prstGeom prst="straightConnector1">
          <a:avLst/>
        </a:prstGeom>
        <a:ln w="76200">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606136</xdr:colOff>
      <xdr:row>7</xdr:row>
      <xdr:rowOff>190499</xdr:rowOff>
    </xdr:from>
    <xdr:to>
      <xdr:col>26</xdr:col>
      <xdr:colOff>138545</xdr:colOff>
      <xdr:row>10</xdr:row>
      <xdr:rowOff>121227</xdr:rowOff>
    </xdr:to>
    <xdr:sp macro="" textlink="">
      <xdr:nvSpPr>
        <xdr:cNvPr id="8" name="Rectangle 7">
          <a:extLst>
            <a:ext uri="{FF2B5EF4-FFF2-40B4-BE49-F238E27FC236}">
              <a16:creationId xmlns:a16="http://schemas.microsoft.com/office/drawing/2014/main" id="{2FE9A255-E1DF-4F42-8186-CFFB732DE1E3}"/>
            </a:ext>
          </a:extLst>
        </xdr:cNvPr>
        <xdr:cNvSpPr/>
      </xdr:nvSpPr>
      <xdr:spPr>
        <a:xfrm>
          <a:off x="4987636" y="1922317"/>
          <a:ext cx="9611591" cy="606137"/>
        </a:xfrm>
        <a:prstGeom prst="rect">
          <a:avLst/>
        </a:prstGeom>
        <a:no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533400</xdr:colOff>
      <xdr:row>1</xdr:row>
      <xdr:rowOff>135081</xdr:rowOff>
    </xdr:from>
    <xdr:to>
      <xdr:col>29</xdr:col>
      <xdr:colOff>917864</xdr:colOff>
      <xdr:row>2</xdr:row>
      <xdr:rowOff>17318</xdr:rowOff>
    </xdr:to>
    <xdr:sp macro="" textlink="">
      <xdr:nvSpPr>
        <xdr:cNvPr id="78" name="Rectangle 77">
          <a:extLst>
            <a:ext uri="{FF2B5EF4-FFF2-40B4-BE49-F238E27FC236}">
              <a16:creationId xmlns:a16="http://schemas.microsoft.com/office/drawing/2014/main" id="{8BE16913-8260-4E7A-8B5C-E106302376F6}"/>
            </a:ext>
          </a:extLst>
        </xdr:cNvPr>
        <xdr:cNvSpPr/>
      </xdr:nvSpPr>
      <xdr:spPr>
        <a:xfrm>
          <a:off x="16206355" y="325581"/>
          <a:ext cx="990600" cy="297873"/>
        </a:xfrm>
        <a:prstGeom prst="rect">
          <a:avLst/>
        </a:pr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149678</xdr:colOff>
      <xdr:row>2</xdr:row>
      <xdr:rowOff>48491</xdr:rowOff>
    </xdr:from>
    <xdr:to>
      <xdr:col>29</xdr:col>
      <xdr:colOff>48490</xdr:colOff>
      <xdr:row>33</xdr:row>
      <xdr:rowOff>190500</xdr:rowOff>
    </xdr:to>
    <xdr:cxnSp macro="">
      <xdr:nvCxnSpPr>
        <xdr:cNvPr id="83" name="Straight Arrow Connector 82">
          <a:extLst>
            <a:ext uri="{FF2B5EF4-FFF2-40B4-BE49-F238E27FC236}">
              <a16:creationId xmlns:a16="http://schemas.microsoft.com/office/drawing/2014/main" id="{237648C1-6F1F-4BE8-8383-96E55B156750}"/>
            </a:ext>
          </a:extLst>
        </xdr:cNvPr>
        <xdr:cNvCxnSpPr/>
      </xdr:nvCxnSpPr>
      <xdr:spPr>
        <a:xfrm flipV="1">
          <a:off x="4599214" y="647205"/>
          <a:ext cx="12186062" cy="7258545"/>
        </a:xfrm>
        <a:prstGeom prst="straightConnector1">
          <a:avLst/>
        </a:prstGeom>
        <a:ln w="76200">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305704</xdr:colOff>
      <xdr:row>35</xdr:row>
      <xdr:rowOff>39155</xdr:rowOff>
    </xdr:from>
    <xdr:ext cx="695739" cy="422412"/>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E37A506A-EC47-4297-8AA9-AE6226F5B28E}"/>
                </a:ext>
              </a:extLst>
            </xdr:cNvPr>
            <xdr:cNvSpPr txBox="1"/>
          </xdr:nvSpPr>
          <xdr:spPr>
            <a:xfrm>
              <a:off x="17952931" y="8299928"/>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1−</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𝑥</m:t>
                            </m:r>
                          </m:den>
                        </m:f>
                        <m:r>
                          <a:rPr lang="en-US" sz="1100" b="0" i="1">
                            <a:solidFill>
                              <a:schemeClr val="tx1"/>
                            </a:solidFill>
                            <a:effectLst/>
                            <a:latin typeface="Cambria Math" panose="02040503050406030204" pitchFamily="18" charset="0"/>
                            <a:ea typeface="+mn-ea"/>
                            <a:cs typeface="+mn-cs"/>
                          </a:rPr>
                          <m:t> </m:t>
                        </m:r>
                      </m:e>
                    </m:d>
                  </m:oMath>
                </m:oMathPara>
              </a14:m>
              <a:endParaRPr lang="en-US" sz="1100"/>
            </a:p>
          </xdr:txBody>
        </xdr:sp>
      </mc:Choice>
      <mc:Fallback xmlns="">
        <xdr:sp macro="" textlink="">
          <xdr:nvSpPr>
            <xdr:cNvPr id="88" name="TextBox 87">
              <a:extLst>
                <a:ext uri="{FF2B5EF4-FFF2-40B4-BE49-F238E27FC236}">
                  <a16:creationId xmlns:a16="http://schemas.microsoft.com/office/drawing/2014/main" id="{E37A506A-EC47-4297-8AA9-AE6226F5B28E}"/>
                </a:ext>
              </a:extLst>
            </xdr:cNvPr>
            <xdr:cNvSpPr txBox="1"/>
          </xdr:nvSpPr>
          <xdr:spPr>
            <a:xfrm>
              <a:off x="17952931" y="8299928"/>
              <a:ext cx="695739" cy="422412"/>
            </a:xfrm>
            <a:prstGeom prst="rect">
              <a:avLst/>
            </a:prstGeom>
            <a:solidFill>
              <a:schemeClr val="bg1"/>
            </a:solidFill>
            <a:ln>
              <a:solidFill>
                <a:schemeClr val="tx1">
                  <a:lumMod val="75000"/>
                  <a:lumOff val="2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200" b="0" i="0">
                  <a:latin typeface="Cambria Math" panose="02040503050406030204" pitchFamily="18" charset="0"/>
                </a:rPr>
                <a:t>1−</a:t>
              </a:r>
              <a:r>
                <a:rPr lang="en-US" sz="1100" b="0" i="0">
                  <a:solidFill>
                    <a:schemeClr val="tx1"/>
                  </a:solidFill>
                  <a:effectLst/>
                  <a:latin typeface="Cambria Math" panose="02040503050406030204" pitchFamily="18" charset="0"/>
                  <a:ea typeface="+mn-ea"/>
                  <a:cs typeface="+mn-cs"/>
                </a:rPr>
                <a:t>( 1/𝑥  )</a:t>
              </a:r>
              <a:endParaRPr lang="en-US" sz="1100"/>
            </a:p>
          </xdr:txBody>
        </xdr:sp>
      </mc:Fallback>
    </mc:AlternateContent>
    <xdr:clientData/>
  </xdr:oneCellAnchor>
  <xdr:twoCellAnchor>
    <xdr:from>
      <xdr:col>4</xdr:col>
      <xdr:colOff>623455</xdr:colOff>
      <xdr:row>0</xdr:row>
      <xdr:rowOff>60690</xdr:rowOff>
    </xdr:from>
    <xdr:to>
      <xdr:col>42</xdr:col>
      <xdr:colOff>215305</xdr:colOff>
      <xdr:row>30</xdr:row>
      <xdr:rowOff>51954</xdr:rowOff>
    </xdr:to>
    <xdr:sp macro="" textlink="">
      <xdr:nvSpPr>
        <xdr:cNvPr id="11" name="Freeform: Shape 10">
          <a:extLst>
            <a:ext uri="{FF2B5EF4-FFF2-40B4-BE49-F238E27FC236}">
              <a16:creationId xmlns:a16="http://schemas.microsoft.com/office/drawing/2014/main" id="{0A5C6C43-7A0C-4EEC-BC41-6756D9E8BF4D}"/>
            </a:ext>
          </a:extLst>
        </xdr:cNvPr>
        <xdr:cNvSpPr/>
      </xdr:nvSpPr>
      <xdr:spPr>
        <a:xfrm>
          <a:off x="3480955" y="60690"/>
          <a:ext cx="26885305" cy="7109037"/>
        </a:xfrm>
        <a:custGeom>
          <a:avLst/>
          <a:gdLst>
            <a:gd name="connsiteX0" fmla="*/ 0 w 26885305"/>
            <a:gd name="connsiteY0" fmla="*/ 337628 h 7109037"/>
            <a:gd name="connsiteX1" fmla="*/ 25249909 w 26885305"/>
            <a:gd name="connsiteY1" fmla="*/ 770583 h 7109037"/>
            <a:gd name="connsiteX2" fmla="*/ 22305818 w 26885305"/>
            <a:gd name="connsiteY2" fmla="*/ 7109037 h 7109037"/>
          </a:gdLst>
          <a:ahLst/>
          <a:cxnLst>
            <a:cxn ang="0">
              <a:pos x="connsiteX0" y="connsiteY0"/>
            </a:cxn>
            <a:cxn ang="0">
              <a:pos x="connsiteX1" y="connsiteY1"/>
            </a:cxn>
            <a:cxn ang="0">
              <a:pos x="connsiteX2" y="connsiteY2"/>
            </a:cxn>
          </a:cxnLst>
          <a:rect l="l" t="t" r="r" b="b"/>
          <a:pathLst>
            <a:path w="26885305" h="7109037">
              <a:moveTo>
                <a:pt x="0" y="337628"/>
              </a:moveTo>
              <a:cubicBezTo>
                <a:pt x="10766136" y="-10179"/>
                <a:pt x="21532273" y="-357985"/>
                <a:pt x="25249909" y="770583"/>
              </a:cubicBezTo>
              <a:cubicBezTo>
                <a:pt x="28967545" y="1899151"/>
                <a:pt x="25636681" y="4504094"/>
                <a:pt x="22305818" y="7109037"/>
              </a:cubicBezTo>
            </a:path>
          </a:pathLst>
        </a:custGeom>
        <a:noFill/>
        <a:ln w="38100">
          <a:solidFill>
            <a:srgbClr val="FF000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653143</xdr:colOff>
      <xdr:row>10</xdr:row>
      <xdr:rowOff>190500</xdr:rowOff>
    </xdr:from>
    <xdr:to>
      <xdr:col>20</xdr:col>
      <xdr:colOff>340179</xdr:colOff>
      <xdr:row>18</xdr:row>
      <xdr:rowOff>217715</xdr:rowOff>
    </xdr:to>
    <xdr:cxnSp macro="">
      <xdr:nvCxnSpPr>
        <xdr:cNvPr id="101" name="Straight Arrow Connector 100">
          <a:extLst>
            <a:ext uri="{FF2B5EF4-FFF2-40B4-BE49-F238E27FC236}">
              <a16:creationId xmlns:a16="http://schemas.microsoft.com/office/drawing/2014/main" id="{A830EF3A-864A-4B06-B51D-FFAEA03E3A81}"/>
            </a:ext>
          </a:extLst>
        </xdr:cNvPr>
        <xdr:cNvCxnSpPr/>
      </xdr:nvCxnSpPr>
      <xdr:spPr>
        <a:xfrm flipV="1">
          <a:off x="5864679" y="2530929"/>
          <a:ext cx="5157107" cy="1755322"/>
        </a:xfrm>
        <a:prstGeom prst="straightConnector1">
          <a:avLst/>
        </a:prstGeom>
        <a:ln w="76200">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61</xdr:row>
      <xdr:rowOff>102577</xdr:rowOff>
    </xdr:from>
    <xdr:to>
      <xdr:col>17</xdr:col>
      <xdr:colOff>139211</xdr:colOff>
      <xdr:row>62</xdr:row>
      <xdr:rowOff>117230</xdr:rowOff>
    </xdr:to>
    <xdr:cxnSp macro="">
      <xdr:nvCxnSpPr>
        <xdr:cNvPr id="18" name="Straight Arrow Connector 17">
          <a:extLst>
            <a:ext uri="{FF2B5EF4-FFF2-40B4-BE49-F238E27FC236}">
              <a16:creationId xmlns:a16="http://schemas.microsoft.com/office/drawing/2014/main" id="{77AD0611-BB96-4A9E-836C-9C154FA3DAC6}"/>
            </a:ext>
          </a:extLst>
        </xdr:cNvPr>
        <xdr:cNvCxnSpPr/>
      </xdr:nvCxnSpPr>
      <xdr:spPr>
        <a:xfrm flipV="1">
          <a:off x="9539654" y="13276385"/>
          <a:ext cx="930519" cy="2051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1223596</xdr:colOff>
      <xdr:row>61</xdr:row>
      <xdr:rowOff>87923</xdr:rowOff>
    </xdr:from>
    <xdr:to>
      <xdr:col>17</xdr:col>
      <xdr:colOff>80596</xdr:colOff>
      <xdr:row>62</xdr:row>
      <xdr:rowOff>95250</xdr:rowOff>
    </xdr:to>
    <xdr:cxnSp macro="">
      <xdr:nvCxnSpPr>
        <xdr:cNvPr id="105" name="Straight Arrow Connector 104">
          <a:extLst>
            <a:ext uri="{FF2B5EF4-FFF2-40B4-BE49-F238E27FC236}">
              <a16:creationId xmlns:a16="http://schemas.microsoft.com/office/drawing/2014/main" id="{199A85B1-935A-4624-AF1D-EB43A7131FF8}"/>
            </a:ext>
          </a:extLst>
        </xdr:cNvPr>
        <xdr:cNvCxnSpPr/>
      </xdr:nvCxnSpPr>
      <xdr:spPr>
        <a:xfrm>
          <a:off x="9525000" y="13261731"/>
          <a:ext cx="886558" cy="19782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785603</xdr:colOff>
      <xdr:row>80</xdr:row>
      <xdr:rowOff>16042</xdr:rowOff>
    </xdr:from>
    <xdr:ext cx="6017967" cy="829843"/>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B4BE5D55-F481-43F8-8E6B-A624A5A16485}"/>
                </a:ext>
              </a:extLst>
            </xdr:cNvPr>
            <xdr:cNvSpPr txBox="1"/>
          </xdr:nvSpPr>
          <xdr:spPr>
            <a:xfrm>
              <a:off x="1397924" y="16820863"/>
              <a:ext cx="6017967"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400" b="0" i="1">
                        <a:latin typeface="Cambria Math" panose="02040503050406030204" pitchFamily="18" charset="0"/>
                      </a:rPr>
                      <m:t>$40 ∗</m:t>
                    </m:r>
                    <m:d>
                      <m:dPr>
                        <m:ctrlPr>
                          <a:rPr lang="en-US" sz="2400" b="0" i="1">
                            <a:latin typeface="Cambria Math" panose="02040503050406030204" pitchFamily="18" charset="0"/>
                          </a:rPr>
                        </m:ctrlPr>
                      </m:dPr>
                      <m:e>
                        <m:r>
                          <a:rPr lang="en-US" sz="2400" b="0" i="1">
                            <a:latin typeface="Cambria Math" panose="02040503050406030204" pitchFamily="18" charset="0"/>
                          </a:rPr>
                          <m:t> </m:t>
                        </m:r>
                        <m:f>
                          <m:fPr>
                            <m:ctrlPr>
                              <a:rPr lang="en-US" sz="2400" b="0" i="1">
                                <a:latin typeface="Cambria Math" panose="02040503050406030204" pitchFamily="18" charset="0"/>
                              </a:rPr>
                            </m:ctrlPr>
                          </m:fPr>
                          <m:num>
                            <m:r>
                              <a:rPr lang="en-US" sz="2400" b="0" i="1">
                                <a:latin typeface="Cambria Math" panose="02040503050406030204" pitchFamily="18" charset="0"/>
                              </a:rPr>
                              <m:t>1 </m:t>
                            </m:r>
                            <m:r>
                              <a:rPr lang="en-US" sz="2400" b="0" i="1">
                                <a:latin typeface="Cambria Math" panose="02040503050406030204" pitchFamily="18" charset="0"/>
                              </a:rPr>
                              <m:t>𝐵𝑇𝐶</m:t>
                            </m:r>
                          </m:num>
                          <m:den>
                            <m:r>
                              <a:rPr lang="en-US" sz="2400" b="0" i="1">
                                <a:latin typeface="Cambria Math" panose="02040503050406030204" pitchFamily="18" charset="0"/>
                              </a:rPr>
                              <m:t>𝑎</m:t>
                            </m:r>
                            <m:r>
                              <a:rPr lang="en-US" sz="2400" b="0" i="1">
                                <a:latin typeface="Cambria Math" panose="02040503050406030204" pitchFamily="18" charset="0"/>
                              </a:rPr>
                              <m:t> </m:t>
                            </m:r>
                            <m:r>
                              <a:rPr lang="en-US" sz="2400" b="0" i="1">
                                <a:latin typeface="Cambria Math" panose="02040503050406030204" pitchFamily="18" charset="0"/>
                              </a:rPr>
                              <m:t>𝑈𝑆𝐷</m:t>
                            </m:r>
                          </m:den>
                        </m:f>
                        <m:r>
                          <a:rPr lang="en-US" sz="2400" b="0" i="1">
                            <a:latin typeface="Cambria Math" panose="02040503050406030204" pitchFamily="18" charset="0"/>
                          </a:rPr>
                          <m:t> </m:t>
                        </m:r>
                      </m:e>
                    </m:d>
                    <m:r>
                      <a:rPr lang="en-US" sz="2400" b="0" i="1">
                        <a:latin typeface="Cambria Math" panose="02040503050406030204" pitchFamily="18" charset="0"/>
                      </a:rPr>
                      <m:t>∗</m:t>
                    </m:r>
                    <m:d>
                      <m:dPr>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r>
                              <a:rPr lang="en-US" sz="2400" b="0" i="1">
                                <a:latin typeface="Cambria Math" panose="02040503050406030204" pitchFamily="18" charset="0"/>
                              </a:rPr>
                              <m:t>1 </m:t>
                            </m:r>
                            <m:r>
                              <a:rPr lang="en-US" sz="2400" b="0" i="1">
                                <a:latin typeface="Cambria Math" panose="02040503050406030204" pitchFamily="18" charset="0"/>
                              </a:rPr>
                              <m:t>𝑠h𝑎𝑟𝑒</m:t>
                            </m:r>
                          </m:num>
                          <m:den>
                            <m:r>
                              <a:rPr lang="en-US" sz="2400" b="0" i="1">
                                <a:latin typeface="Cambria Math" panose="02040503050406030204" pitchFamily="18" charset="0"/>
                              </a:rPr>
                              <m:t>𝑏</m:t>
                            </m:r>
                            <m:r>
                              <a:rPr lang="en-US" sz="2400" b="0" i="1">
                                <a:latin typeface="Cambria Math" panose="02040503050406030204" pitchFamily="18" charset="0"/>
                              </a:rPr>
                              <m:t> </m:t>
                            </m:r>
                            <m:r>
                              <a:rPr lang="en-US" sz="2400" b="0" i="1">
                                <a:latin typeface="Cambria Math" panose="02040503050406030204" pitchFamily="18" charset="0"/>
                              </a:rPr>
                              <m:t>𝐵𝑇𝐶</m:t>
                            </m:r>
                          </m:den>
                        </m:f>
                      </m:e>
                    </m:d>
                    <m:r>
                      <a:rPr lang="en-US" sz="2400" b="0" i="1">
                        <a:latin typeface="Cambria Math" panose="02040503050406030204" pitchFamily="18" charset="0"/>
                      </a:rPr>
                      <m:t>=</m:t>
                    </m:r>
                    <m:f>
                      <m:fPr>
                        <m:ctrlPr>
                          <a:rPr lang="en-US" sz="2400" b="0" i="1">
                            <a:latin typeface="Cambria Math" panose="02040503050406030204" pitchFamily="18" charset="0"/>
                          </a:rPr>
                        </m:ctrlPr>
                      </m:fPr>
                      <m:num>
                        <m:r>
                          <a:rPr lang="en-US" sz="2400" b="0" i="1">
                            <a:latin typeface="Cambria Math" panose="02040503050406030204" pitchFamily="18" charset="0"/>
                          </a:rPr>
                          <m:t>40</m:t>
                        </m:r>
                      </m:num>
                      <m:den>
                        <m:r>
                          <a:rPr lang="en-US" sz="2400" b="0" i="1">
                            <a:latin typeface="Cambria Math" panose="02040503050406030204" pitchFamily="18" charset="0"/>
                          </a:rPr>
                          <m:t>𝑎𝑏</m:t>
                        </m:r>
                      </m:den>
                    </m:f>
                    <m:r>
                      <a:rPr lang="en-US" sz="2400" b="0" i="1">
                        <a:latin typeface="Cambria Math" panose="02040503050406030204" pitchFamily="18" charset="0"/>
                      </a:rPr>
                      <m:t> </m:t>
                    </m:r>
                    <m:r>
                      <a:rPr lang="en-US" sz="2400" b="0" i="1">
                        <a:latin typeface="Cambria Math" panose="02040503050406030204" pitchFamily="18" charset="0"/>
                      </a:rPr>
                      <m:t>𝑠h𝑎𝑟𝑒𝑠</m:t>
                    </m:r>
                  </m:oMath>
                </m:oMathPara>
              </a14:m>
              <a:endParaRPr lang="en-US" sz="2400"/>
            </a:p>
          </xdr:txBody>
        </xdr:sp>
      </mc:Choice>
      <mc:Fallback xmlns="">
        <xdr:sp macro="" textlink="">
          <xdr:nvSpPr>
            <xdr:cNvPr id="30" name="TextBox 29">
              <a:extLst>
                <a:ext uri="{FF2B5EF4-FFF2-40B4-BE49-F238E27FC236}">
                  <a16:creationId xmlns:a16="http://schemas.microsoft.com/office/drawing/2014/main" id="{B4BE5D55-F481-43F8-8E6B-A624A5A16485}"/>
                </a:ext>
              </a:extLst>
            </xdr:cNvPr>
            <xdr:cNvSpPr txBox="1"/>
          </xdr:nvSpPr>
          <xdr:spPr>
            <a:xfrm>
              <a:off x="1397924" y="16820863"/>
              <a:ext cx="6017967"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b="0" i="0">
                  <a:latin typeface="Cambria Math" panose="02040503050406030204" pitchFamily="18" charset="0"/>
                </a:rPr>
                <a:t>$40 ∗( (1 𝐵𝑇𝐶)/(𝑎 𝑈𝑆𝐷)  )∗((1 𝑠ℎ𝑎𝑟𝑒)/(𝑏 𝐵𝑇𝐶))=40/𝑎𝑏  𝑠ℎ𝑎𝑟𝑒𝑠</a:t>
              </a:r>
              <a:endParaRPr lang="en-US" sz="2400"/>
            </a:p>
          </xdr:txBody>
        </xdr:sp>
      </mc:Fallback>
    </mc:AlternateContent>
    <xdr:clientData/>
  </xdr:oneCellAnchor>
  <xdr:oneCellAnchor>
    <xdr:from>
      <xdr:col>2</xdr:col>
      <xdr:colOff>190500</xdr:colOff>
      <xdr:row>114</xdr:row>
      <xdr:rowOff>0</xdr:rowOff>
    </xdr:from>
    <xdr:ext cx="6017967" cy="829843"/>
    <mc:AlternateContent xmlns:mc="http://schemas.openxmlformats.org/markup-compatibility/2006" xmlns:a14="http://schemas.microsoft.com/office/drawing/2010/main">
      <mc:Choice Requires="a14">
        <xdr:sp macro="" textlink="">
          <xdr:nvSpPr>
            <xdr:cNvPr id="108" name="TextBox 107">
              <a:extLst>
                <a:ext uri="{FF2B5EF4-FFF2-40B4-BE49-F238E27FC236}">
                  <a16:creationId xmlns:a16="http://schemas.microsoft.com/office/drawing/2014/main" id="{A89BD60F-49A4-4173-AF99-BB86A16B050E}"/>
                </a:ext>
              </a:extLst>
            </xdr:cNvPr>
            <xdr:cNvSpPr txBox="1"/>
          </xdr:nvSpPr>
          <xdr:spPr>
            <a:xfrm>
              <a:off x="1592036" y="22710321"/>
              <a:ext cx="6017967"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2400" b="0" i="1">
                            <a:latin typeface="Cambria Math" panose="02040503050406030204" pitchFamily="18" charset="0"/>
                          </a:rPr>
                        </m:ctrlPr>
                      </m:fPr>
                      <m:num>
                        <m:r>
                          <a:rPr lang="en-US" sz="2400" b="0" i="1">
                            <a:latin typeface="Cambria Math" panose="02040503050406030204" pitchFamily="18" charset="0"/>
                          </a:rPr>
                          <m:t>40</m:t>
                        </m:r>
                      </m:num>
                      <m:den>
                        <m:r>
                          <a:rPr lang="en-US" sz="2400" b="0" i="1">
                            <a:latin typeface="Cambria Math" panose="02040503050406030204" pitchFamily="18" charset="0"/>
                          </a:rPr>
                          <m:t>𝑎𝑏</m:t>
                        </m:r>
                      </m:den>
                    </m:f>
                    <m:r>
                      <a:rPr lang="en-US" sz="2400" b="0" i="1">
                        <a:latin typeface="Cambria Math" panose="02040503050406030204" pitchFamily="18" charset="0"/>
                      </a:rPr>
                      <m:t>𝑠h𝑎𝑟𝑒𝑠</m:t>
                    </m:r>
                    <m:r>
                      <a:rPr lang="en-US" sz="2400" b="0" i="1">
                        <a:latin typeface="Cambria Math" panose="02040503050406030204" pitchFamily="18" charset="0"/>
                      </a:rPr>
                      <m:t> ∗</m:t>
                    </m:r>
                    <m:sSub>
                      <m:sSubPr>
                        <m:ctrlPr>
                          <a:rPr lang="en-US" sz="2400" b="0" i="1">
                            <a:latin typeface="Cambria Math" panose="02040503050406030204" pitchFamily="18" charset="0"/>
                          </a:rPr>
                        </m:ctrlPr>
                      </m:sSubPr>
                      <m:e>
                        <m:r>
                          <a:rPr lang="en-US" sz="2400" b="0" i="1">
                            <a:latin typeface="Cambria Math" panose="02040503050406030204" pitchFamily="18" charset="0"/>
                          </a:rPr>
                          <m:t>𝑏</m:t>
                        </m:r>
                      </m:e>
                      <m:sub>
                        <m:r>
                          <a:rPr lang="en-US" sz="2400" b="0" i="1">
                            <a:latin typeface="Cambria Math" panose="02040503050406030204" pitchFamily="18" charset="0"/>
                          </a:rPr>
                          <m:t>2</m:t>
                        </m:r>
                      </m:sub>
                    </m:sSub>
                    <m:d>
                      <m:dPr>
                        <m:ctrlPr>
                          <a:rPr lang="en-US" sz="2400" b="0" i="1">
                            <a:latin typeface="Cambria Math" panose="02040503050406030204" pitchFamily="18" charset="0"/>
                          </a:rPr>
                        </m:ctrlPr>
                      </m:dPr>
                      <m:e>
                        <m:r>
                          <a:rPr lang="en-US" sz="2400" b="0" i="1">
                            <a:latin typeface="Cambria Math" panose="02040503050406030204" pitchFamily="18" charset="0"/>
                          </a:rPr>
                          <m:t> </m:t>
                        </m:r>
                        <m:f>
                          <m:fPr>
                            <m:ctrlPr>
                              <a:rPr lang="en-US" sz="2400" b="0" i="1">
                                <a:latin typeface="Cambria Math" panose="02040503050406030204" pitchFamily="18" charset="0"/>
                              </a:rPr>
                            </m:ctrlPr>
                          </m:fPr>
                          <m:num>
                            <m:r>
                              <a:rPr lang="en-US" sz="2400" b="0" i="1">
                                <a:latin typeface="Cambria Math" panose="02040503050406030204" pitchFamily="18" charset="0"/>
                              </a:rPr>
                              <m:t>𝐵𝑇𝐶</m:t>
                            </m:r>
                          </m:num>
                          <m:den>
                            <m:r>
                              <a:rPr lang="en-US" sz="2400" b="0" i="1">
                                <a:latin typeface="Cambria Math" panose="02040503050406030204" pitchFamily="18" charset="0"/>
                              </a:rPr>
                              <m:t>𝑠h𝑎𝑟𝑒</m:t>
                            </m:r>
                          </m:den>
                        </m:f>
                        <m:r>
                          <a:rPr lang="en-US" sz="2400" b="0" i="1">
                            <a:latin typeface="Cambria Math" panose="02040503050406030204" pitchFamily="18" charset="0"/>
                          </a:rPr>
                          <m:t> </m:t>
                        </m:r>
                      </m:e>
                    </m:d>
                    <m:r>
                      <a:rPr lang="en-US" sz="2400" b="0" i="1">
                        <a:latin typeface="Cambria Math" panose="02040503050406030204" pitchFamily="18" charset="0"/>
                      </a:rPr>
                      <m:t>∗</m:t>
                    </m:r>
                    <m:sSub>
                      <m:sSubPr>
                        <m:ctrlPr>
                          <a:rPr lang="en-US" sz="2400" b="0" i="1">
                            <a:latin typeface="Cambria Math" panose="02040503050406030204" pitchFamily="18" charset="0"/>
                          </a:rPr>
                        </m:ctrlPr>
                      </m:sSubPr>
                      <m:e>
                        <m:r>
                          <a:rPr lang="en-US" sz="2400" b="0" i="1">
                            <a:latin typeface="Cambria Math" panose="02040503050406030204" pitchFamily="18" charset="0"/>
                          </a:rPr>
                          <m:t>𝑎</m:t>
                        </m:r>
                      </m:e>
                      <m:sub>
                        <m:r>
                          <a:rPr lang="en-US" sz="2400" b="0" i="1">
                            <a:latin typeface="Cambria Math" panose="02040503050406030204" pitchFamily="18" charset="0"/>
                          </a:rPr>
                          <m:t>2</m:t>
                        </m:r>
                      </m:sub>
                    </m:sSub>
                    <m:d>
                      <m:dPr>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r>
                              <a:rPr lang="en-US" sz="2400" b="0" i="1">
                                <a:latin typeface="Cambria Math" panose="02040503050406030204" pitchFamily="18" charset="0"/>
                              </a:rPr>
                              <m:t>𝑈𝑆𝐷</m:t>
                            </m:r>
                          </m:num>
                          <m:den>
                            <m:r>
                              <a:rPr lang="en-US" sz="2400" b="0" i="1">
                                <a:latin typeface="Cambria Math" panose="02040503050406030204" pitchFamily="18" charset="0"/>
                              </a:rPr>
                              <m:t>𝐵𝑇𝐶</m:t>
                            </m:r>
                          </m:den>
                        </m:f>
                      </m:e>
                    </m:d>
                    <m:r>
                      <a:rPr lang="en-US" sz="2400" b="0" i="1">
                        <a:latin typeface="Cambria Math" panose="02040503050406030204" pitchFamily="18" charset="0"/>
                      </a:rPr>
                      <m:t>=$40</m:t>
                    </m:r>
                  </m:oMath>
                </m:oMathPara>
              </a14:m>
              <a:endParaRPr lang="en-US" sz="2400"/>
            </a:p>
          </xdr:txBody>
        </xdr:sp>
      </mc:Choice>
      <mc:Fallback xmlns="">
        <xdr:sp macro="" textlink="">
          <xdr:nvSpPr>
            <xdr:cNvPr id="108" name="TextBox 107">
              <a:extLst>
                <a:ext uri="{FF2B5EF4-FFF2-40B4-BE49-F238E27FC236}">
                  <a16:creationId xmlns:a16="http://schemas.microsoft.com/office/drawing/2014/main" id="{A89BD60F-49A4-4173-AF99-BB86A16B050E}"/>
                </a:ext>
              </a:extLst>
            </xdr:cNvPr>
            <xdr:cNvSpPr txBox="1"/>
          </xdr:nvSpPr>
          <xdr:spPr>
            <a:xfrm>
              <a:off x="1592036" y="22710321"/>
              <a:ext cx="6017967"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b="0" i="0">
                  <a:latin typeface="Cambria Math" panose="02040503050406030204" pitchFamily="18" charset="0"/>
                </a:rPr>
                <a:t>40/𝑎𝑏 𝑠ℎ𝑎𝑟𝑒𝑠 ∗𝑏_2 ( 𝐵𝑇𝐶/𝑠ℎ𝑎𝑟𝑒  )∗𝑎_2 (𝑈𝑆𝐷/𝐵𝑇𝐶)=$40</a:t>
              </a:r>
              <a:endParaRPr lang="en-US" sz="2400"/>
            </a:p>
          </xdr:txBody>
        </xdr:sp>
      </mc:Fallback>
    </mc:AlternateContent>
    <xdr:clientData/>
  </xdr:oneCellAnchor>
  <xdr:twoCellAnchor>
    <xdr:from>
      <xdr:col>9</xdr:col>
      <xdr:colOff>979715</xdr:colOff>
      <xdr:row>85</xdr:row>
      <xdr:rowOff>27214</xdr:rowOff>
    </xdr:from>
    <xdr:to>
      <xdr:col>10</xdr:col>
      <xdr:colOff>748393</xdr:colOff>
      <xdr:row>90</xdr:row>
      <xdr:rowOff>0</xdr:rowOff>
    </xdr:to>
    <xdr:sp macro="" textlink="">
      <xdr:nvSpPr>
        <xdr:cNvPr id="32" name="Rectangle 31">
          <a:extLst>
            <a:ext uri="{FF2B5EF4-FFF2-40B4-BE49-F238E27FC236}">
              <a16:creationId xmlns:a16="http://schemas.microsoft.com/office/drawing/2014/main" id="{752CCE7E-7048-49EE-942F-A54E3DCD10EA}"/>
            </a:ext>
          </a:extLst>
        </xdr:cNvPr>
        <xdr:cNvSpPr/>
      </xdr:nvSpPr>
      <xdr:spPr>
        <a:xfrm>
          <a:off x="9280072" y="17784535"/>
          <a:ext cx="993321" cy="925286"/>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a:solidFill>
              <a:sysClr val="windowText" lastClr="000000"/>
            </a:solidFill>
          </a:endParaRPr>
        </a:p>
      </xdr:txBody>
    </xdr:sp>
    <xdr:clientData/>
  </xdr:twoCellAnchor>
  <xdr:oneCellAnchor>
    <xdr:from>
      <xdr:col>9</xdr:col>
      <xdr:colOff>887187</xdr:colOff>
      <xdr:row>85</xdr:row>
      <xdr:rowOff>152399</xdr:rowOff>
    </xdr:from>
    <xdr:ext cx="1167492" cy="610745"/>
    <mc:AlternateContent xmlns:mc="http://schemas.openxmlformats.org/markup-compatibility/2006" xmlns:a14="http://schemas.microsoft.com/office/drawing/2010/main">
      <mc:Choice Requires="a14">
        <xdr:sp macro="" textlink="">
          <xdr:nvSpPr>
            <xdr:cNvPr id="117" name="TextBox 116">
              <a:extLst>
                <a:ext uri="{FF2B5EF4-FFF2-40B4-BE49-F238E27FC236}">
                  <a16:creationId xmlns:a16="http://schemas.microsoft.com/office/drawing/2014/main" id="{26F5352A-44DD-405D-81CA-BD1722E1500F}"/>
                </a:ext>
              </a:extLst>
            </xdr:cNvPr>
            <xdr:cNvSpPr txBox="1"/>
          </xdr:nvSpPr>
          <xdr:spPr>
            <a:xfrm>
              <a:off x="9187544" y="17909720"/>
              <a:ext cx="1167492" cy="610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2000" b="0" i="1">
                            <a:latin typeface="Cambria Math" panose="02040503050406030204" pitchFamily="18" charset="0"/>
                          </a:rPr>
                        </m:ctrlPr>
                      </m:fPr>
                      <m:num>
                        <m:r>
                          <a:rPr lang="en-US" sz="2000" b="0" i="1">
                            <a:latin typeface="Cambria Math" panose="02040503050406030204" pitchFamily="18" charset="0"/>
                          </a:rPr>
                          <m:t>1</m:t>
                        </m:r>
                      </m:num>
                      <m:den>
                        <m:r>
                          <a:rPr lang="en-US" sz="2000" b="0" i="1">
                            <a:latin typeface="Cambria Math" panose="02040503050406030204" pitchFamily="18" charset="0"/>
                          </a:rPr>
                          <m:t>14,000</m:t>
                        </m:r>
                      </m:den>
                    </m:f>
                  </m:oMath>
                </m:oMathPara>
              </a14:m>
              <a:endParaRPr lang="en-US" sz="2000"/>
            </a:p>
          </xdr:txBody>
        </xdr:sp>
      </mc:Choice>
      <mc:Fallback xmlns="">
        <xdr:sp macro="" textlink="">
          <xdr:nvSpPr>
            <xdr:cNvPr id="117" name="TextBox 116">
              <a:extLst>
                <a:ext uri="{FF2B5EF4-FFF2-40B4-BE49-F238E27FC236}">
                  <a16:creationId xmlns:a16="http://schemas.microsoft.com/office/drawing/2014/main" id="{26F5352A-44DD-405D-81CA-BD1722E1500F}"/>
                </a:ext>
              </a:extLst>
            </xdr:cNvPr>
            <xdr:cNvSpPr txBox="1"/>
          </xdr:nvSpPr>
          <xdr:spPr>
            <a:xfrm>
              <a:off x="9187544" y="17909720"/>
              <a:ext cx="1167492" cy="610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000" b="0" i="0">
                  <a:latin typeface="Cambria Math" panose="02040503050406030204" pitchFamily="18" charset="0"/>
                </a:rPr>
                <a:t>1/14,000</a:t>
              </a:r>
              <a:endParaRPr lang="en-US" sz="2000"/>
            </a:p>
          </xdr:txBody>
        </xdr:sp>
      </mc:Fallback>
    </mc:AlternateContent>
    <xdr:clientData/>
  </xdr:oneCellAnchor>
  <xdr:twoCellAnchor>
    <xdr:from>
      <xdr:col>17</xdr:col>
      <xdr:colOff>97973</xdr:colOff>
      <xdr:row>85</xdr:row>
      <xdr:rowOff>29936</xdr:rowOff>
    </xdr:from>
    <xdr:to>
      <xdr:col>18</xdr:col>
      <xdr:colOff>315686</xdr:colOff>
      <xdr:row>90</xdr:row>
      <xdr:rowOff>2722</xdr:rowOff>
    </xdr:to>
    <xdr:sp macro="" textlink="">
      <xdr:nvSpPr>
        <xdr:cNvPr id="118" name="Rectangle 117">
          <a:extLst>
            <a:ext uri="{FF2B5EF4-FFF2-40B4-BE49-F238E27FC236}">
              <a16:creationId xmlns:a16="http://schemas.microsoft.com/office/drawing/2014/main" id="{800FF0ED-E6FD-4488-977E-4559A990D387}"/>
            </a:ext>
          </a:extLst>
        </xdr:cNvPr>
        <xdr:cNvSpPr/>
      </xdr:nvSpPr>
      <xdr:spPr>
        <a:xfrm>
          <a:off x="10425794" y="17787257"/>
          <a:ext cx="993321" cy="925286"/>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a:solidFill>
              <a:sysClr val="windowText" lastClr="000000"/>
            </a:solidFill>
          </a:endParaRPr>
        </a:p>
      </xdr:txBody>
    </xdr:sp>
    <xdr:clientData/>
  </xdr:twoCellAnchor>
  <xdr:oneCellAnchor>
    <xdr:from>
      <xdr:col>17</xdr:col>
      <xdr:colOff>149679</xdr:colOff>
      <xdr:row>86</xdr:row>
      <xdr:rowOff>87084</xdr:rowOff>
    </xdr:from>
    <xdr:ext cx="1115786" cy="552452"/>
    <mc:AlternateContent xmlns:mc="http://schemas.openxmlformats.org/markup-compatibility/2006" xmlns:a14="http://schemas.microsoft.com/office/drawing/2010/main">
      <mc:Choice Requires="a14">
        <xdr:sp macro="" textlink="">
          <xdr:nvSpPr>
            <xdr:cNvPr id="119" name="TextBox 118">
              <a:extLst>
                <a:ext uri="{FF2B5EF4-FFF2-40B4-BE49-F238E27FC236}">
                  <a16:creationId xmlns:a16="http://schemas.microsoft.com/office/drawing/2014/main" id="{25455323-76A4-470B-A089-AD21502D5109}"/>
                </a:ext>
              </a:extLst>
            </xdr:cNvPr>
            <xdr:cNvSpPr txBox="1"/>
          </xdr:nvSpPr>
          <xdr:spPr>
            <a:xfrm>
              <a:off x="10477500" y="18034905"/>
              <a:ext cx="1115786" cy="55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800" b="0"/>
                <a:t>1- (</a:t>
              </a:r>
              <a14:m>
                <m:oMath xmlns:m="http://schemas.openxmlformats.org/officeDocument/2006/math">
                  <m:f>
                    <m:fPr>
                      <m:ctrlPr>
                        <a:rPr lang="en-US" sz="1800" b="0" i="1">
                          <a:latin typeface="Cambria Math" panose="02040503050406030204" pitchFamily="18" charset="0"/>
                        </a:rPr>
                      </m:ctrlPr>
                    </m:fPr>
                    <m:num>
                      <m:r>
                        <a:rPr lang="en-US" sz="1800" b="0" i="1">
                          <a:latin typeface="Cambria Math" panose="02040503050406030204" pitchFamily="18" charset="0"/>
                        </a:rPr>
                        <m:t>1</m:t>
                      </m:r>
                    </m:num>
                    <m:den>
                      <m:r>
                        <a:rPr lang="en-US" sz="1800" b="0" i="1">
                          <a:latin typeface="Cambria Math" panose="02040503050406030204" pitchFamily="18" charset="0"/>
                        </a:rPr>
                        <m:t>14,000</m:t>
                      </m:r>
                    </m:den>
                  </m:f>
                  <m:r>
                    <a:rPr lang="en-US" sz="1800" b="0" i="1">
                      <a:latin typeface="Cambria Math" panose="02040503050406030204" pitchFamily="18" charset="0"/>
                    </a:rPr>
                    <m:t>) </m:t>
                  </m:r>
                </m:oMath>
              </a14:m>
              <a:endParaRPr lang="en-US" sz="1800"/>
            </a:p>
          </xdr:txBody>
        </xdr:sp>
      </mc:Choice>
      <mc:Fallback xmlns="">
        <xdr:sp macro="" textlink="">
          <xdr:nvSpPr>
            <xdr:cNvPr id="119" name="TextBox 118">
              <a:extLst>
                <a:ext uri="{FF2B5EF4-FFF2-40B4-BE49-F238E27FC236}">
                  <a16:creationId xmlns:a16="http://schemas.microsoft.com/office/drawing/2014/main" id="{25455323-76A4-470B-A089-AD21502D5109}"/>
                </a:ext>
              </a:extLst>
            </xdr:cNvPr>
            <xdr:cNvSpPr txBox="1"/>
          </xdr:nvSpPr>
          <xdr:spPr>
            <a:xfrm>
              <a:off x="10477500" y="18034905"/>
              <a:ext cx="1115786" cy="55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800" b="0"/>
                <a:t>1- (</a:t>
              </a:r>
              <a:r>
                <a:rPr lang="en-US" sz="1800" b="0" i="0">
                  <a:latin typeface="Cambria Math" panose="02040503050406030204" pitchFamily="18" charset="0"/>
                </a:rPr>
                <a:t>1/14,000) </a:t>
              </a:r>
              <a:endParaRPr lang="en-US" sz="1800"/>
            </a:p>
          </xdr:txBody>
        </xdr:sp>
      </mc:Fallback>
    </mc:AlternateContent>
    <xdr:clientData/>
  </xdr:oneCellAnchor>
  <xdr:twoCellAnchor>
    <xdr:from>
      <xdr:col>9</xdr:col>
      <xdr:colOff>1006929</xdr:colOff>
      <xdr:row>80</xdr:row>
      <xdr:rowOff>138793</xdr:rowOff>
    </xdr:from>
    <xdr:to>
      <xdr:col>18</xdr:col>
      <xdr:colOff>367392</xdr:colOff>
      <xdr:row>82</xdr:row>
      <xdr:rowOff>136072</xdr:rowOff>
    </xdr:to>
    <xdr:sp macro="" textlink="">
      <xdr:nvSpPr>
        <xdr:cNvPr id="120" name="Rectangle 119">
          <a:extLst>
            <a:ext uri="{FF2B5EF4-FFF2-40B4-BE49-F238E27FC236}">
              <a16:creationId xmlns:a16="http://schemas.microsoft.com/office/drawing/2014/main" id="{F28F9A0B-4719-4E7F-9496-71A7C3334A32}"/>
            </a:ext>
          </a:extLst>
        </xdr:cNvPr>
        <xdr:cNvSpPr/>
      </xdr:nvSpPr>
      <xdr:spPr>
        <a:xfrm>
          <a:off x="9307286" y="16943614"/>
          <a:ext cx="2163535" cy="37827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ysClr val="windowText" lastClr="000000"/>
              </a:solidFill>
            </a:rPr>
            <a:t>USD/BTC Exchange Rate</a:t>
          </a:r>
        </a:p>
      </xdr:txBody>
    </xdr:sp>
    <xdr:clientData/>
  </xdr:twoCellAnchor>
  <xdr:twoCellAnchor>
    <xdr:from>
      <xdr:col>17</xdr:col>
      <xdr:colOff>367393</xdr:colOff>
      <xdr:row>82</xdr:row>
      <xdr:rowOff>182336</xdr:rowOff>
    </xdr:from>
    <xdr:to>
      <xdr:col>18</xdr:col>
      <xdr:colOff>13608</xdr:colOff>
      <xdr:row>84</xdr:row>
      <xdr:rowOff>179615</xdr:rowOff>
    </xdr:to>
    <xdr:sp macro="" textlink="">
      <xdr:nvSpPr>
        <xdr:cNvPr id="121" name="Rectangle 120">
          <a:extLst>
            <a:ext uri="{FF2B5EF4-FFF2-40B4-BE49-F238E27FC236}">
              <a16:creationId xmlns:a16="http://schemas.microsoft.com/office/drawing/2014/main" id="{48208DDB-8657-45F2-B500-5BC016169905}"/>
            </a:ext>
          </a:extLst>
        </xdr:cNvPr>
        <xdr:cNvSpPr/>
      </xdr:nvSpPr>
      <xdr:spPr>
        <a:xfrm>
          <a:off x="10695214" y="17368157"/>
          <a:ext cx="421823" cy="37827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ysClr val="windowText" lastClr="000000"/>
              </a:solidFill>
            </a:rPr>
            <a:t>Up</a:t>
          </a:r>
          <a:endParaRPr lang="en-US" sz="1100">
            <a:solidFill>
              <a:sysClr val="windowText" lastClr="000000"/>
            </a:solidFill>
          </a:endParaRPr>
        </a:p>
      </xdr:txBody>
    </xdr:sp>
    <xdr:clientData/>
  </xdr:twoCellAnchor>
  <xdr:twoCellAnchor>
    <xdr:from>
      <xdr:col>9</xdr:col>
      <xdr:colOff>1156608</xdr:colOff>
      <xdr:row>82</xdr:row>
      <xdr:rowOff>185057</xdr:rowOff>
    </xdr:from>
    <xdr:to>
      <xdr:col>10</xdr:col>
      <xdr:colOff>547009</xdr:colOff>
      <xdr:row>84</xdr:row>
      <xdr:rowOff>182336</xdr:rowOff>
    </xdr:to>
    <xdr:sp macro="" textlink="">
      <xdr:nvSpPr>
        <xdr:cNvPr id="122" name="Rectangle 121">
          <a:extLst>
            <a:ext uri="{FF2B5EF4-FFF2-40B4-BE49-F238E27FC236}">
              <a16:creationId xmlns:a16="http://schemas.microsoft.com/office/drawing/2014/main" id="{1C5388A0-6844-420E-BD19-6D591FE9944F}"/>
            </a:ext>
          </a:extLst>
        </xdr:cNvPr>
        <xdr:cNvSpPr/>
      </xdr:nvSpPr>
      <xdr:spPr>
        <a:xfrm>
          <a:off x="9456965" y="17370878"/>
          <a:ext cx="615044" cy="37827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ysClr val="windowText" lastClr="000000"/>
              </a:solidFill>
            </a:rPr>
            <a:t>Down</a:t>
          </a:r>
          <a:endParaRPr lang="en-US" sz="1100">
            <a:solidFill>
              <a:sysClr val="windowText" lastClr="000000"/>
            </a:solidFill>
          </a:endParaRPr>
        </a:p>
      </xdr:txBody>
    </xdr:sp>
    <xdr:clientData/>
  </xdr:twoCellAnchor>
  <xdr:twoCellAnchor>
    <xdr:from>
      <xdr:col>9</xdr:col>
      <xdr:colOff>1009651</xdr:colOff>
      <xdr:row>98</xdr:row>
      <xdr:rowOff>57150</xdr:rowOff>
    </xdr:from>
    <xdr:to>
      <xdr:col>10</xdr:col>
      <xdr:colOff>778329</xdr:colOff>
      <xdr:row>102</xdr:row>
      <xdr:rowOff>163286</xdr:rowOff>
    </xdr:to>
    <xdr:sp macro="" textlink="">
      <xdr:nvSpPr>
        <xdr:cNvPr id="123" name="Rectangle 122">
          <a:extLst>
            <a:ext uri="{FF2B5EF4-FFF2-40B4-BE49-F238E27FC236}">
              <a16:creationId xmlns:a16="http://schemas.microsoft.com/office/drawing/2014/main" id="{034D2EF9-5B03-437A-94E7-0D344FAB1164}"/>
            </a:ext>
          </a:extLst>
        </xdr:cNvPr>
        <xdr:cNvSpPr/>
      </xdr:nvSpPr>
      <xdr:spPr>
        <a:xfrm>
          <a:off x="9310008" y="19147971"/>
          <a:ext cx="993321" cy="868136"/>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a:solidFill>
              <a:sysClr val="windowText" lastClr="000000"/>
            </a:solidFill>
          </a:endParaRPr>
        </a:p>
      </xdr:txBody>
    </xdr:sp>
    <xdr:clientData/>
  </xdr:twoCellAnchor>
  <xdr:oneCellAnchor>
    <xdr:from>
      <xdr:col>9</xdr:col>
      <xdr:colOff>917123</xdr:colOff>
      <xdr:row>98</xdr:row>
      <xdr:rowOff>182335</xdr:rowOff>
    </xdr:from>
    <xdr:ext cx="1167492" cy="610745"/>
    <mc:AlternateContent xmlns:mc="http://schemas.openxmlformats.org/markup-compatibility/2006" xmlns:a14="http://schemas.microsoft.com/office/drawing/2010/main">
      <mc:Choice Requires="a14">
        <xdr:sp macro="" textlink="">
          <xdr:nvSpPr>
            <xdr:cNvPr id="124" name="TextBox 123">
              <a:extLst>
                <a:ext uri="{FF2B5EF4-FFF2-40B4-BE49-F238E27FC236}">
                  <a16:creationId xmlns:a16="http://schemas.microsoft.com/office/drawing/2014/main" id="{047BADD5-FAD1-4CDF-AE51-EDD571C9FD82}"/>
                </a:ext>
              </a:extLst>
            </xdr:cNvPr>
            <xdr:cNvSpPr txBox="1"/>
          </xdr:nvSpPr>
          <xdr:spPr>
            <a:xfrm>
              <a:off x="9217480" y="19273156"/>
              <a:ext cx="1167492" cy="610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2000" b="0" i="1">
                            <a:latin typeface="Cambria Math" panose="02040503050406030204" pitchFamily="18" charset="0"/>
                          </a:rPr>
                        </m:ctrlPr>
                      </m:fPr>
                      <m:num>
                        <m:r>
                          <a:rPr lang="en-US" sz="2000" b="0" i="1">
                            <a:latin typeface="Cambria Math" panose="02040503050406030204" pitchFamily="18" charset="0"/>
                          </a:rPr>
                          <m:t>1</m:t>
                        </m:r>
                      </m:num>
                      <m:den>
                        <m:r>
                          <a:rPr lang="en-US" sz="2000" b="0" i="1">
                            <a:latin typeface="Cambria Math" panose="02040503050406030204" pitchFamily="18" charset="0"/>
                          </a:rPr>
                          <m:t>9,000</m:t>
                        </m:r>
                      </m:den>
                    </m:f>
                  </m:oMath>
                </m:oMathPara>
              </a14:m>
              <a:endParaRPr lang="en-US" sz="2000"/>
            </a:p>
          </xdr:txBody>
        </xdr:sp>
      </mc:Choice>
      <mc:Fallback xmlns="">
        <xdr:sp macro="" textlink="">
          <xdr:nvSpPr>
            <xdr:cNvPr id="124" name="TextBox 123">
              <a:extLst>
                <a:ext uri="{FF2B5EF4-FFF2-40B4-BE49-F238E27FC236}">
                  <a16:creationId xmlns:a16="http://schemas.microsoft.com/office/drawing/2014/main" id="{047BADD5-FAD1-4CDF-AE51-EDD571C9FD82}"/>
                </a:ext>
              </a:extLst>
            </xdr:cNvPr>
            <xdr:cNvSpPr txBox="1"/>
          </xdr:nvSpPr>
          <xdr:spPr>
            <a:xfrm>
              <a:off x="9217480" y="19273156"/>
              <a:ext cx="1167492" cy="610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000" b="0" i="0">
                  <a:latin typeface="Cambria Math" panose="02040503050406030204" pitchFamily="18" charset="0"/>
                </a:rPr>
                <a:t>1/9,000</a:t>
              </a:r>
              <a:endParaRPr lang="en-US" sz="2000"/>
            </a:p>
          </xdr:txBody>
        </xdr:sp>
      </mc:Fallback>
    </mc:AlternateContent>
    <xdr:clientData/>
  </xdr:oneCellAnchor>
  <xdr:twoCellAnchor>
    <xdr:from>
      <xdr:col>17</xdr:col>
      <xdr:colOff>127909</xdr:colOff>
      <xdr:row>98</xdr:row>
      <xdr:rowOff>59872</xdr:rowOff>
    </xdr:from>
    <xdr:to>
      <xdr:col>18</xdr:col>
      <xdr:colOff>345622</xdr:colOff>
      <xdr:row>102</xdr:row>
      <xdr:rowOff>163286</xdr:rowOff>
    </xdr:to>
    <xdr:sp macro="" textlink="">
      <xdr:nvSpPr>
        <xdr:cNvPr id="125" name="Rectangle 124">
          <a:extLst>
            <a:ext uri="{FF2B5EF4-FFF2-40B4-BE49-F238E27FC236}">
              <a16:creationId xmlns:a16="http://schemas.microsoft.com/office/drawing/2014/main" id="{ADF2ECF5-1A65-4320-B718-7794FFEB174B}"/>
            </a:ext>
          </a:extLst>
        </xdr:cNvPr>
        <xdr:cNvSpPr/>
      </xdr:nvSpPr>
      <xdr:spPr>
        <a:xfrm>
          <a:off x="10455730" y="19150693"/>
          <a:ext cx="993321" cy="8654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a:solidFill>
              <a:sysClr val="windowText" lastClr="000000"/>
            </a:solidFill>
          </a:endParaRPr>
        </a:p>
      </xdr:txBody>
    </xdr:sp>
    <xdr:clientData/>
  </xdr:twoCellAnchor>
  <xdr:oneCellAnchor>
    <xdr:from>
      <xdr:col>17</xdr:col>
      <xdr:colOff>179615</xdr:colOff>
      <xdr:row>99</xdr:row>
      <xdr:rowOff>117020</xdr:rowOff>
    </xdr:from>
    <xdr:ext cx="1115786" cy="552452"/>
    <mc:AlternateContent xmlns:mc="http://schemas.openxmlformats.org/markup-compatibility/2006" xmlns:a14="http://schemas.microsoft.com/office/drawing/2010/main">
      <mc:Choice Requires="a14">
        <xdr:sp macro="" textlink="">
          <xdr:nvSpPr>
            <xdr:cNvPr id="126" name="TextBox 125">
              <a:extLst>
                <a:ext uri="{FF2B5EF4-FFF2-40B4-BE49-F238E27FC236}">
                  <a16:creationId xmlns:a16="http://schemas.microsoft.com/office/drawing/2014/main" id="{B351C93E-C800-4F30-9E80-A4F71B37B78E}"/>
                </a:ext>
              </a:extLst>
            </xdr:cNvPr>
            <xdr:cNvSpPr txBox="1"/>
          </xdr:nvSpPr>
          <xdr:spPr>
            <a:xfrm>
              <a:off x="10507436" y="19398341"/>
              <a:ext cx="1115786" cy="55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800" b="0"/>
                <a:t>1- (</a:t>
              </a:r>
              <a14:m>
                <m:oMath xmlns:m="http://schemas.openxmlformats.org/officeDocument/2006/math">
                  <m:f>
                    <m:fPr>
                      <m:ctrlPr>
                        <a:rPr lang="en-US" sz="1800" b="0" i="1">
                          <a:latin typeface="Cambria Math" panose="02040503050406030204" pitchFamily="18" charset="0"/>
                        </a:rPr>
                      </m:ctrlPr>
                    </m:fPr>
                    <m:num>
                      <m:r>
                        <a:rPr lang="en-US" sz="1800" b="0" i="1">
                          <a:latin typeface="Cambria Math" panose="02040503050406030204" pitchFamily="18" charset="0"/>
                        </a:rPr>
                        <m:t>1</m:t>
                      </m:r>
                    </m:num>
                    <m:den>
                      <m:r>
                        <a:rPr lang="en-US" sz="1800" b="0" i="1">
                          <a:latin typeface="Cambria Math" panose="02040503050406030204" pitchFamily="18" charset="0"/>
                        </a:rPr>
                        <m:t>9,000</m:t>
                      </m:r>
                    </m:den>
                  </m:f>
                  <m:r>
                    <a:rPr lang="en-US" sz="1800" b="0" i="1">
                      <a:latin typeface="Cambria Math" panose="02040503050406030204" pitchFamily="18" charset="0"/>
                    </a:rPr>
                    <m:t>) </m:t>
                  </m:r>
                </m:oMath>
              </a14:m>
              <a:endParaRPr lang="en-US" sz="1800"/>
            </a:p>
          </xdr:txBody>
        </xdr:sp>
      </mc:Choice>
      <mc:Fallback xmlns="">
        <xdr:sp macro="" textlink="">
          <xdr:nvSpPr>
            <xdr:cNvPr id="126" name="TextBox 125">
              <a:extLst>
                <a:ext uri="{FF2B5EF4-FFF2-40B4-BE49-F238E27FC236}">
                  <a16:creationId xmlns:a16="http://schemas.microsoft.com/office/drawing/2014/main" id="{B351C93E-C800-4F30-9E80-A4F71B37B78E}"/>
                </a:ext>
              </a:extLst>
            </xdr:cNvPr>
            <xdr:cNvSpPr txBox="1"/>
          </xdr:nvSpPr>
          <xdr:spPr>
            <a:xfrm>
              <a:off x="10507436" y="19398341"/>
              <a:ext cx="1115786" cy="55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800" b="0"/>
                <a:t>1- (</a:t>
              </a:r>
              <a:r>
                <a:rPr lang="en-US" sz="1800" b="0" i="0">
                  <a:latin typeface="Cambria Math" panose="02040503050406030204" pitchFamily="18" charset="0"/>
                </a:rPr>
                <a:t>1/9,000) </a:t>
              </a:r>
              <a:endParaRPr lang="en-US" sz="1800"/>
            </a:p>
          </xdr:txBody>
        </xdr:sp>
      </mc:Fallback>
    </mc:AlternateContent>
    <xdr:clientData/>
  </xdr:oneCellAnchor>
  <xdr:oneCellAnchor>
    <xdr:from>
      <xdr:col>2</xdr:col>
      <xdr:colOff>408214</xdr:colOff>
      <xdr:row>123</xdr:row>
      <xdr:rowOff>176893</xdr:rowOff>
    </xdr:from>
    <xdr:ext cx="6017967" cy="1242135"/>
    <mc:AlternateContent xmlns:mc="http://schemas.openxmlformats.org/markup-compatibility/2006" xmlns:a14="http://schemas.microsoft.com/office/drawing/2010/main">
      <mc:Choice Requires="a14">
        <xdr:sp macro="" textlink="">
          <xdr:nvSpPr>
            <xdr:cNvPr id="127" name="TextBox 126">
              <a:extLst>
                <a:ext uri="{FF2B5EF4-FFF2-40B4-BE49-F238E27FC236}">
                  <a16:creationId xmlns:a16="http://schemas.microsoft.com/office/drawing/2014/main" id="{E3C4A11D-84E3-40A5-B588-81408378D20A}"/>
                </a:ext>
              </a:extLst>
            </xdr:cNvPr>
            <xdr:cNvSpPr txBox="1"/>
          </xdr:nvSpPr>
          <xdr:spPr>
            <a:xfrm>
              <a:off x="1809750" y="24030214"/>
              <a:ext cx="6017967" cy="1242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400" b="0" i="1">
                        <a:latin typeface="Cambria Math" panose="02040503050406030204" pitchFamily="18" charset="0"/>
                      </a:rPr>
                      <m:t>40 ∗</m:t>
                    </m:r>
                    <m:d>
                      <m:dPr>
                        <m:begChr m:val="["/>
                        <m:endChr m:val="]"/>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sSub>
                              <m:sSubPr>
                                <m:ctrlPr>
                                  <a:rPr lang="en-US" sz="2400" b="0" i="1">
                                    <a:latin typeface="Cambria Math" panose="02040503050406030204" pitchFamily="18" charset="0"/>
                                  </a:rPr>
                                </m:ctrlPr>
                              </m:sSubPr>
                              <m:e>
                                <m:r>
                                  <a:rPr lang="en-US" sz="2400" b="0" i="1">
                                    <a:latin typeface="Cambria Math" panose="02040503050406030204" pitchFamily="18" charset="0"/>
                                  </a:rPr>
                                  <m:t>𝑏</m:t>
                                </m:r>
                              </m:e>
                              <m:sub>
                                <m:r>
                                  <a:rPr lang="en-US" sz="2400" b="0" i="1">
                                    <a:latin typeface="Cambria Math" panose="02040503050406030204" pitchFamily="18" charset="0"/>
                                  </a:rPr>
                                  <m:t>2</m:t>
                                </m:r>
                              </m:sub>
                            </m:sSub>
                            <m:sSub>
                              <m:sSubPr>
                                <m:ctrlPr>
                                  <a:rPr lang="en-US" sz="2400" b="0" i="1">
                                    <a:latin typeface="Cambria Math" panose="02040503050406030204" pitchFamily="18" charset="0"/>
                                  </a:rPr>
                                </m:ctrlPr>
                              </m:sSubPr>
                              <m:e>
                                <m:r>
                                  <a:rPr lang="en-US" sz="2400" b="0" i="1">
                                    <a:latin typeface="Cambria Math" panose="02040503050406030204" pitchFamily="18" charset="0"/>
                                  </a:rPr>
                                  <m:t>𝑎</m:t>
                                </m:r>
                              </m:e>
                              <m:sub>
                                <m:r>
                                  <a:rPr lang="en-US" sz="2400" b="0" i="1">
                                    <a:latin typeface="Cambria Math" panose="02040503050406030204" pitchFamily="18" charset="0"/>
                                  </a:rPr>
                                  <m:t>2</m:t>
                                </m:r>
                              </m:sub>
                            </m:sSub>
                          </m:num>
                          <m:den>
                            <m:r>
                              <a:rPr lang="en-US" sz="2400" b="0" i="1">
                                <a:latin typeface="Cambria Math" panose="02040503050406030204" pitchFamily="18" charset="0"/>
                              </a:rPr>
                              <m:t>𝑎𝑏</m:t>
                            </m:r>
                          </m:den>
                        </m:f>
                      </m:e>
                    </m:d>
                    <m:r>
                      <a:rPr lang="en-US" sz="2400" b="0" i="1">
                        <a:latin typeface="Cambria Math" panose="02040503050406030204" pitchFamily="18" charset="0"/>
                      </a:rPr>
                      <m:t>=40∗</m:t>
                    </m:r>
                    <m:d>
                      <m:dPr>
                        <m:begChr m:val="["/>
                        <m:endChr m:val="]"/>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r>
                              <a:rPr lang="en-US" sz="2400" b="0" i="1">
                                <a:latin typeface="Cambria Math" panose="02040503050406030204" pitchFamily="18" charset="0"/>
                              </a:rPr>
                              <m:t>9000∗</m:t>
                            </m:r>
                            <m:d>
                              <m:dPr>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r>
                                      <a:rPr lang="en-US" sz="2400" b="0" i="1">
                                        <a:latin typeface="Cambria Math" panose="02040503050406030204" pitchFamily="18" charset="0"/>
                                      </a:rPr>
                                      <m:t>1</m:t>
                                    </m:r>
                                  </m:num>
                                  <m:den>
                                    <m:r>
                                      <a:rPr lang="en-US" sz="2400" b="0" i="1">
                                        <a:latin typeface="Cambria Math" panose="02040503050406030204" pitchFamily="18" charset="0"/>
                                      </a:rPr>
                                      <m:t>9000</m:t>
                                    </m:r>
                                  </m:den>
                                </m:f>
                              </m:e>
                            </m:d>
                          </m:num>
                          <m:den>
                            <m:r>
                              <a:rPr lang="en-US" sz="2400" b="0" i="1">
                                <a:latin typeface="Cambria Math" panose="02040503050406030204" pitchFamily="18" charset="0"/>
                              </a:rPr>
                              <m:t>14000∗</m:t>
                            </m:r>
                            <m:d>
                              <m:dPr>
                                <m:ctrlPr>
                                  <a:rPr lang="en-US" sz="2400" b="0" i="1">
                                    <a:latin typeface="Cambria Math" panose="02040503050406030204" pitchFamily="18" charset="0"/>
                                  </a:rPr>
                                </m:ctrlPr>
                              </m:dPr>
                              <m:e>
                                <m:f>
                                  <m:fPr>
                                    <m:ctrlPr>
                                      <a:rPr lang="en-US" sz="2400" b="0" i="1">
                                        <a:latin typeface="Cambria Math" panose="02040503050406030204" pitchFamily="18" charset="0"/>
                                      </a:rPr>
                                    </m:ctrlPr>
                                  </m:fPr>
                                  <m:num>
                                    <m:r>
                                      <a:rPr lang="en-US" sz="2400" b="0" i="1">
                                        <a:latin typeface="Cambria Math" panose="02040503050406030204" pitchFamily="18" charset="0"/>
                                      </a:rPr>
                                      <m:t>1</m:t>
                                    </m:r>
                                  </m:num>
                                  <m:den>
                                    <m:r>
                                      <a:rPr lang="en-US" sz="2400" b="0" i="1">
                                        <a:latin typeface="Cambria Math" panose="02040503050406030204" pitchFamily="18" charset="0"/>
                                      </a:rPr>
                                      <m:t>14000</m:t>
                                    </m:r>
                                  </m:den>
                                </m:f>
                              </m:e>
                            </m:d>
                          </m:den>
                        </m:f>
                      </m:e>
                    </m:d>
                    <m:r>
                      <a:rPr lang="en-US" sz="2400" b="0" i="1">
                        <a:latin typeface="Cambria Math" panose="02040503050406030204" pitchFamily="18" charset="0"/>
                      </a:rPr>
                      <m:t>=40</m:t>
                    </m:r>
                  </m:oMath>
                </m:oMathPara>
              </a14:m>
              <a:endParaRPr lang="en-US" sz="2400"/>
            </a:p>
          </xdr:txBody>
        </xdr:sp>
      </mc:Choice>
      <mc:Fallback xmlns="">
        <xdr:sp macro="" textlink="">
          <xdr:nvSpPr>
            <xdr:cNvPr id="127" name="TextBox 126">
              <a:extLst>
                <a:ext uri="{FF2B5EF4-FFF2-40B4-BE49-F238E27FC236}">
                  <a16:creationId xmlns:a16="http://schemas.microsoft.com/office/drawing/2014/main" id="{E3C4A11D-84E3-40A5-B588-81408378D20A}"/>
                </a:ext>
              </a:extLst>
            </xdr:cNvPr>
            <xdr:cNvSpPr txBox="1"/>
          </xdr:nvSpPr>
          <xdr:spPr>
            <a:xfrm>
              <a:off x="1809750" y="24030214"/>
              <a:ext cx="6017967" cy="1242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b="0" i="0">
                  <a:latin typeface="Cambria Math" panose="02040503050406030204" pitchFamily="18" charset="0"/>
                </a:rPr>
                <a:t>40 ∗[(𝑏_2 𝑎_2)/𝑎𝑏]=40∗[(9000∗(1/9000))/(14000∗(1/14000) )]=40</a:t>
              </a:r>
              <a:endParaRPr lang="en-US" sz="2400"/>
            </a:p>
          </xdr:txBody>
        </xdr:sp>
      </mc:Fallback>
    </mc:AlternateContent>
    <xdr:clientData/>
  </xdr:oneCellAnchor>
  <xdr:twoCellAnchor>
    <xdr:from>
      <xdr:col>5</xdr:col>
      <xdr:colOff>530679</xdr:colOff>
      <xdr:row>65</xdr:row>
      <xdr:rowOff>68036</xdr:rowOff>
    </xdr:from>
    <xdr:to>
      <xdr:col>5</xdr:col>
      <xdr:colOff>585107</xdr:colOff>
      <xdr:row>66</xdr:row>
      <xdr:rowOff>163286</xdr:rowOff>
    </xdr:to>
    <xdr:cxnSp macro="">
      <xdr:nvCxnSpPr>
        <xdr:cNvPr id="40" name="Straight Connector 39">
          <a:extLst>
            <a:ext uri="{FF2B5EF4-FFF2-40B4-BE49-F238E27FC236}">
              <a16:creationId xmlns:a16="http://schemas.microsoft.com/office/drawing/2014/main" id="{D0F77EA9-F106-453B-9637-B22D2C9F7010}"/>
            </a:ext>
          </a:extLst>
        </xdr:cNvPr>
        <xdr:cNvCxnSpPr/>
      </xdr:nvCxnSpPr>
      <xdr:spPr>
        <a:xfrm>
          <a:off x="4803322" y="14001750"/>
          <a:ext cx="54428" cy="285750"/>
        </a:xfrm>
        <a:prstGeom prst="line">
          <a:avLst/>
        </a:prstGeom>
        <a:ln>
          <a:solidFill>
            <a:schemeClr val="accent4">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217714</xdr:colOff>
      <xdr:row>65</xdr:row>
      <xdr:rowOff>57150</xdr:rowOff>
    </xdr:from>
    <xdr:to>
      <xdr:col>17</xdr:col>
      <xdr:colOff>274865</xdr:colOff>
      <xdr:row>66</xdr:row>
      <xdr:rowOff>136071</xdr:rowOff>
    </xdr:to>
    <xdr:cxnSp macro="">
      <xdr:nvCxnSpPr>
        <xdr:cNvPr id="128" name="Straight Connector 127">
          <a:extLst>
            <a:ext uri="{FF2B5EF4-FFF2-40B4-BE49-F238E27FC236}">
              <a16:creationId xmlns:a16="http://schemas.microsoft.com/office/drawing/2014/main" id="{B398948B-6375-430C-A542-9BB8EA9C0F98}"/>
            </a:ext>
          </a:extLst>
        </xdr:cNvPr>
        <xdr:cNvCxnSpPr/>
      </xdr:nvCxnSpPr>
      <xdr:spPr>
        <a:xfrm flipH="1">
          <a:off x="10545535" y="13990864"/>
          <a:ext cx="57151" cy="269421"/>
        </a:xfrm>
        <a:prstGeom prst="line">
          <a:avLst/>
        </a:prstGeom>
        <a:ln>
          <a:solidFill>
            <a:schemeClr val="accent4">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347382</xdr:colOff>
      <xdr:row>1</xdr:row>
      <xdr:rowOff>392205</xdr:rowOff>
    </xdr:from>
    <xdr:to>
      <xdr:col>25</xdr:col>
      <xdr:colOff>1047749</xdr:colOff>
      <xdr:row>19</xdr:row>
      <xdr:rowOff>190499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204106</xdr:colOff>
      <xdr:row>44</xdr:row>
      <xdr:rowOff>25883</xdr:rowOff>
    </xdr:from>
    <xdr:to>
      <xdr:col>43</xdr:col>
      <xdr:colOff>450272</xdr:colOff>
      <xdr:row>57</xdr:row>
      <xdr:rowOff>146275</xdr:rowOff>
    </xdr:to>
    <xdr:graphicFrame macro="">
      <xdr:nvGraphicFramePr>
        <xdr:cNvPr id="5" name="Chart 4">
          <a:extLst>
            <a:ext uri="{FF2B5EF4-FFF2-40B4-BE49-F238E27FC236}">
              <a16:creationId xmlns:a16="http://schemas.microsoft.com/office/drawing/2014/main" id="{3256EA95-145D-4AD6-ACE1-A88680F36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173182</xdr:colOff>
      <xdr:row>30</xdr:row>
      <xdr:rowOff>52371</xdr:rowOff>
    </xdr:from>
    <xdr:to>
      <xdr:col>43</xdr:col>
      <xdr:colOff>432954</xdr:colOff>
      <xdr:row>43</xdr:row>
      <xdr:rowOff>51025</xdr:rowOff>
    </xdr:to>
    <xdr:graphicFrame macro="">
      <xdr:nvGraphicFramePr>
        <xdr:cNvPr id="6" name="Chart 5">
          <a:extLst>
            <a:ext uri="{FF2B5EF4-FFF2-40B4-BE49-F238E27FC236}">
              <a16:creationId xmlns:a16="http://schemas.microsoft.com/office/drawing/2014/main" id="{67368229-D982-4429-B0F3-9D45F3689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190500</xdr:colOff>
      <xdr:row>16</xdr:row>
      <xdr:rowOff>145041</xdr:rowOff>
    </xdr:from>
    <xdr:to>
      <xdr:col>43</xdr:col>
      <xdr:colOff>432954</xdr:colOff>
      <xdr:row>29</xdr:row>
      <xdr:rowOff>145040</xdr:rowOff>
    </xdr:to>
    <xdr:graphicFrame macro="">
      <xdr:nvGraphicFramePr>
        <xdr:cNvPr id="7" name="Chart 6">
          <a:extLst>
            <a:ext uri="{FF2B5EF4-FFF2-40B4-BE49-F238E27FC236}">
              <a16:creationId xmlns:a16="http://schemas.microsoft.com/office/drawing/2014/main" id="{1A82FCB0-9469-422F-8427-B8B8EBCA9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240949</xdr:colOff>
      <xdr:row>58</xdr:row>
      <xdr:rowOff>60236</xdr:rowOff>
    </xdr:from>
    <xdr:to>
      <xdr:col>43</xdr:col>
      <xdr:colOff>483402</xdr:colOff>
      <xdr:row>73</xdr:row>
      <xdr:rowOff>129509</xdr:rowOff>
    </xdr:to>
    <xdr:graphicFrame macro="">
      <xdr:nvGraphicFramePr>
        <xdr:cNvPr id="9" name="Chart 8">
          <a:extLst>
            <a:ext uri="{FF2B5EF4-FFF2-40B4-BE49-F238E27FC236}">
              <a16:creationId xmlns:a16="http://schemas.microsoft.com/office/drawing/2014/main" id="{EC8E8C40-40B4-48C5-88DD-6EA825EFA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435429</xdr:colOff>
      <xdr:row>70</xdr:row>
      <xdr:rowOff>136071</xdr:rowOff>
    </xdr:from>
    <xdr:to>
      <xdr:col>26</xdr:col>
      <xdr:colOff>1167739</xdr:colOff>
      <xdr:row>86</xdr:row>
      <xdr:rowOff>14844</xdr:rowOff>
    </xdr:to>
    <xdr:graphicFrame macro="">
      <xdr:nvGraphicFramePr>
        <xdr:cNvPr id="10" name="Chart 9">
          <a:extLst>
            <a:ext uri="{FF2B5EF4-FFF2-40B4-BE49-F238E27FC236}">
              <a16:creationId xmlns:a16="http://schemas.microsoft.com/office/drawing/2014/main" id="{196D57AD-9423-44F3-A392-809623104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291352</xdr:colOff>
      <xdr:row>11</xdr:row>
      <xdr:rowOff>33617</xdr:rowOff>
    </xdr:from>
    <xdr:to>
      <xdr:col>16</xdr:col>
      <xdr:colOff>9981</xdr:colOff>
      <xdr:row>20</xdr:row>
      <xdr:rowOff>44822</xdr:rowOff>
    </xdr:to>
    <xdr:pic>
      <xdr:nvPicPr>
        <xdr:cNvPr id="8" name="Picture 7">
          <a:extLst>
            <a:ext uri="{FF2B5EF4-FFF2-40B4-BE49-F238E27FC236}">
              <a16:creationId xmlns:a16="http://schemas.microsoft.com/office/drawing/2014/main" id="{B079916B-DC8A-42B8-A2A3-8F5DC97248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28411" y="2173941"/>
          <a:ext cx="2004629" cy="173691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661147</xdr:colOff>
      <xdr:row>6</xdr:row>
      <xdr:rowOff>156882</xdr:rowOff>
    </xdr:from>
    <xdr:to>
      <xdr:col>14</xdr:col>
      <xdr:colOff>358588</xdr:colOff>
      <xdr:row>11</xdr:row>
      <xdr:rowOff>134470</xdr:rowOff>
    </xdr:to>
    <xdr:cxnSp macro="">
      <xdr:nvCxnSpPr>
        <xdr:cNvPr id="4" name="Straight Arrow Connector 3">
          <a:extLst>
            <a:ext uri="{FF2B5EF4-FFF2-40B4-BE49-F238E27FC236}">
              <a16:creationId xmlns:a16="http://schemas.microsoft.com/office/drawing/2014/main" id="{0B088396-85C6-4730-A32C-9A62FBE15E4B}"/>
            </a:ext>
          </a:extLst>
        </xdr:cNvPr>
        <xdr:cNvCxnSpPr/>
      </xdr:nvCxnSpPr>
      <xdr:spPr>
        <a:xfrm>
          <a:off x="3440206" y="1344706"/>
          <a:ext cx="7317441" cy="93008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410135</xdr:colOff>
      <xdr:row>14</xdr:row>
      <xdr:rowOff>141194</xdr:rowOff>
    </xdr:from>
    <xdr:to>
      <xdr:col>13</xdr:col>
      <xdr:colOff>291352</xdr:colOff>
      <xdr:row>15</xdr:row>
      <xdr:rowOff>140073</xdr:rowOff>
    </xdr:to>
    <xdr:cxnSp macro="">
      <xdr:nvCxnSpPr>
        <xdr:cNvPr id="11" name="Straight Arrow Connector 10">
          <a:extLst>
            <a:ext uri="{FF2B5EF4-FFF2-40B4-BE49-F238E27FC236}">
              <a16:creationId xmlns:a16="http://schemas.microsoft.com/office/drawing/2014/main" id="{DB116D07-9531-4156-8012-AE4F1A8BE1E1}"/>
            </a:ext>
          </a:extLst>
        </xdr:cNvPr>
        <xdr:cNvCxnSpPr>
          <a:endCxn id="8" idx="1"/>
        </xdr:cNvCxnSpPr>
      </xdr:nvCxnSpPr>
      <xdr:spPr>
        <a:xfrm>
          <a:off x="3189194" y="2853018"/>
          <a:ext cx="6739217" cy="189379"/>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739588</xdr:colOff>
      <xdr:row>13</xdr:row>
      <xdr:rowOff>100852</xdr:rowOff>
    </xdr:from>
    <xdr:to>
      <xdr:col>13</xdr:col>
      <xdr:colOff>537882</xdr:colOff>
      <xdr:row>17</xdr:row>
      <xdr:rowOff>67236</xdr:rowOff>
    </xdr:to>
    <xdr:cxnSp macro="">
      <xdr:nvCxnSpPr>
        <xdr:cNvPr id="13" name="Straight Arrow Connector 12">
          <a:extLst>
            <a:ext uri="{FF2B5EF4-FFF2-40B4-BE49-F238E27FC236}">
              <a16:creationId xmlns:a16="http://schemas.microsoft.com/office/drawing/2014/main" id="{8981B7E1-CBC9-4B9E-B24D-B112465B60ED}"/>
            </a:ext>
          </a:extLst>
        </xdr:cNvPr>
        <xdr:cNvCxnSpPr/>
      </xdr:nvCxnSpPr>
      <xdr:spPr>
        <a:xfrm flipV="1">
          <a:off x="3518647" y="2622176"/>
          <a:ext cx="6656294"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690846</xdr:colOff>
      <xdr:row>7</xdr:row>
      <xdr:rowOff>231962</xdr:rowOff>
    </xdr:from>
    <xdr:to>
      <xdr:col>23</xdr:col>
      <xdr:colOff>420221</xdr:colOff>
      <xdr:row>22</xdr:row>
      <xdr:rowOff>6724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377906</xdr:colOff>
      <xdr:row>32</xdr:row>
      <xdr:rowOff>85725</xdr:rowOff>
    </xdr:from>
    <xdr:to>
      <xdr:col>6</xdr:col>
      <xdr:colOff>638175</xdr:colOff>
      <xdr:row>59</xdr:row>
      <xdr:rowOff>0</xdr:rowOff>
    </xdr:to>
    <xdr:sp macro="" textlink="">
      <xdr:nvSpPr>
        <xdr:cNvPr id="3" name="Freeform: Shape 2">
          <a:extLst>
            <a:ext uri="{FF2B5EF4-FFF2-40B4-BE49-F238E27FC236}">
              <a16:creationId xmlns:a16="http://schemas.microsoft.com/office/drawing/2014/main" id="{BB88A5D0-3297-4328-8C02-9A4596013875}"/>
            </a:ext>
          </a:extLst>
        </xdr:cNvPr>
        <xdr:cNvSpPr/>
      </xdr:nvSpPr>
      <xdr:spPr>
        <a:xfrm>
          <a:off x="2206706" y="7286625"/>
          <a:ext cx="2279569" cy="4619625"/>
        </a:xfrm>
        <a:custGeom>
          <a:avLst/>
          <a:gdLst>
            <a:gd name="connsiteX0" fmla="*/ 2279569 w 2279569"/>
            <a:gd name="connsiteY0" fmla="*/ 0 h 4619625"/>
            <a:gd name="connsiteX1" fmla="*/ 107869 w 2279569"/>
            <a:gd name="connsiteY1" fmla="*/ 2324100 h 4619625"/>
            <a:gd name="connsiteX2" fmla="*/ 526969 w 2279569"/>
            <a:gd name="connsiteY2" fmla="*/ 4619625 h 4619625"/>
          </a:gdLst>
          <a:ahLst/>
          <a:cxnLst>
            <a:cxn ang="0">
              <a:pos x="connsiteX0" y="connsiteY0"/>
            </a:cxn>
            <a:cxn ang="0">
              <a:pos x="connsiteX1" y="connsiteY1"/>
            </a:cxn>
            <a:cxn ang="0">
              <a:pos x="connsiteX2" y="connsiteY2"/>
            </a:cxn>
          </a:cxnLst>
          <a:rect l="l" t="t" r="r" b="b"/>
          <a:pathLst>
            <a:path w="2279569" h="4619625">
              <a:moveTo>
                <a:pt x="2279569" y="0"/>
              </a:moveTo>
              <a:cubicBezTo>
                <a:pt x="1339769" y="777081"/>
                <a:pt x="399969" y="1554163"/>
                <a:pt x="107869" y="2324100"/>
              </a:cubicBezTo>
              <a:cubicBezTo>
                <a:pt x="-184231" y="3094037"/>
                <a:pt x="171369" y="3856831"/>
                <a:pt x="526969" y="4619625"/>
              </a:cubicBezTo>
            </a:path>
          </a:pathLst>
        </a:custGeom>
        <a:noFill/>
        <a:ln>
          <a:solidFill>
            <a:srgbClr val="FF0000">
              <a:alpha val="60000"/>
            </a:srgbClr>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305998</xdr:colOff>
      <xdr:row>35</xdr:row>
      <xdr:rowOff>71437</xdr:rowOff>
    </xdr:from>
    <xdr:to>
      <xdr:col>6</xdr:col>
      <xdr:colOff>595312</xdr:colOff>
      <xdr:row>126</xdr:row>
      <xdr:rowOff>142875</xdr:rowOff>
    </xdr:to>
    <xdr:sp macro="" textlink="">
      <xdr:nvSpPr>
        <xdr:cNvPr id="6" name="Freeform: Shape 5">
          <a:extLst>
            <a:ext uri="{FF2B5EF4-FFF2-40B4-BE49-F238E27FC236}">
              <a16:creationId xmlns:a16="http://schemas.microsoft.com/office/drawing/2014/main" id="{56509ABC-D049-4A25-BBDB-81AF63ACA109}"/>
            </a:ext>
          </a:extLst>
        </xdr:cNvPr>
        <xdr:cNvSpPr/>
      </xdr:nvSpPr>
      <xdr:spPr>
        <a:xfrm>
          <a:off x="925123" y="7762875"/>
          <a:ext cx="3575439" cy="14144625"/>
        </a:xfrm>
        <a:custGeom>
          <a:avLst/>
          <a:gdLst>
            <a:gd name="connsiteX0" fmla="*/ 3575439 w 3575439"/>
            <a:gd name="connsiteY0" fmla="*/ 0 h 14144625"/>
            <a:gd name="connsiteX1" fmla="*/ 646502 w 3575439"/>
            <a:gd name="connsiteY1" fmla="*/ 1976437 h 14144625"/>
            <a:gd name="connsiteX2" fmla="*/ 98814 w 3575439"/>
            <a:gd name="connsiteY2" fmla="*/ 11358562 h 14144625"/>
            <a:gd name="connsiteX3" fmla="*/ 2099064 w 3575439"/>
            <a:gd name="connsiteY3" fmla="*/ 14144625 h 14144625"/>
          </a:gdLst>
          <a:ahLst/>
          <a:cxnLst>
            <a:cxn ang="0">
              <a:pos x="connsiteX0" y="connsiteY0"/>
            </a:cxn>
            <a:cxn ang="0">
              <a:pos x="connsiteX1" y="connsiteY1"/>
            </a:cxn>
            <a:cxn ang="0">
              <a:pos x="connsiteX2" y="connsiteY2"/>
            </a:cxn>
            <a:cxn ang="0">
              <a:pos x="connsiteX3" y="connsiteY3"/>
            </a:cxn>
          </a:cxnLst>
          <a:rect l="l" t="t" r="r" b="b"/>
          <a:pathLst>
            <a:path w="3575439" h="14144625">
              <a:moveTo>
                <a:pt x="3575439" y="0"/>
              </a:moveTo>
              <a:cubicBezTo>
                <a:pt x="2400689" y="41671"/>
                <a:pt x="1225939" y="83343"/>
                <a:pt x="646502" y="1976437"/>
              </a:cubicBezTo>
              <a:cubicBezTo>
                <a:pt x="67064" y="3869531"/>
                <a:pt x="-143280" y="9330531"/>
                <a:pt x="98814" y="11358562"/>
              </a:cubicBezTo>
              <a:cubicBezTo>
                <a:pt x="340908" y="13386593"/>
                <a:pt x="1219986" y="13765609"/>
                <a:pt x="2099064" y="14144625"/>
              </a:cubicBezTo>
            </a:path>
          </a:pathLst>
        </a:custGeom>
        <a:noFill/>
        <a:ln>
          <a:solidFill>
            <a:srgbClr val="FFFF00">
              <a:alpha val="60000"/>
            </a:srgbClr>
          </a:solidFill>
          <a:tailEnd type="arrow"/>
        </a:ln>
        <a:effectLst>
          <a:glow rad="38100">
            <a:schemeClr val="tx1">
              <a:alpha val="2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560294</xdr:colOff>
      <xdr:row>10</xdr:row>
      <xdr:rowOff>134469</xdr:rowOff>
    </xdr:from>
    <xdr:to>
      <xdr:col>17</xdr:col>
      <xdr:colOff>225341</xdr:colOff>
      <xdr:row>21</xdr:row>
      <xdr:rowOff>97490</xdr:rowOff>
    </xdr:to>
    <xdr:pic>
      <xdr:nvPicPr>
        <xdr:cNvPr id="7" name="Picture 6">
          <a:extLst>
            <a:ext uri="{FF2B5EF4-FFF2-40B4-BE49-F238E27FC236}">
              <a16:creationId xmlns:a16="http://schemas.microsoft.com/office/drawing/2014/main" id="{C059C04D-1D74-4681-A1C9-8B093C3136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2801469"/>
          <a:ext cx="2556165" cy="222660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313765</xdr:colOff>
      <xdr:row>25</xdr:row>
      <xdr:rowOff>33618</xdr:rowOff>
    </xdr:from>
    <xdr:to>
      <xdr:col>16</xdr:col>
      <xdr:colOff>381000</xdr:colOff>
      <xdr:row>27</xdr:row>
      <xdr:rowOff>0</xdr:rowOff>
    </xdr:to>
    <xdr:cxnSp macro="">
      <xdr:nvCxnSpPr>
        <xdr:cNvPr id="9" name="Straight Connector 8">
          <a:extLst>
            <a:ext uri="{FF2B5EF4-FFF2-40B4-BE49-F238E27FC236}">
              <a16:creationId xmlns:a16="http://schemas.microsoft.com/office/drawing/2014/main" id="{EF132AF1-645D-4FC6-BEB0-D57578C87A60}"/>
            </a:ext>
          </a:extLst>
        </xdr:cNvPr>
        <xdr:cNvCxnSpPr/>
      </xdr:nvCxnSpPr>
      <xdr:spPr>
        <a:xfrm>
          <a:off x="11340353" y="5726206"/>
          <a:ext cx="67235" cy="515470"/>
        </a:xfrm>
        <a:prstGeom prst="line">
          <a:avLst/>
        </a:prstGeom>
        <a:ln>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152400</xdr:colOff>
      <xdr:row>24</xdr:row>
      <xdr:rowOff>6724</xdr:rowOff>
    </xdr:from>
    <xdr:to>
      <xdr:col>17</xdr:col>
      <xdr:colOff>347382</xdr:colOff>
      <xdr:row>27</xdr:row>
      <xdr:rowOff>11206</xdr:rowOff>
    </xdr:to>
    <xdr:cxnSp macro="">
      <xdr:nvCxnSpPr>
        <xdr:cNvPr id="12" name="Straight Connector 11">
          <a:extLst>
            <a:ext uri="{FF2B5EF4-FFF2-40B4-BE49-F238E27FC236}">
              <a16:creationId xmlns:a16="http://schemas.microsoft.com/office/drawing/2014/main" id="{BD22E2D4-ED70-449E-9446-936D5EF2B73C}"/>
            </a:ext>
          </a:extLst>
        </xdr:cNvPr>
        <xdr:cNvCxnSpPr/>
      </xdr:nvCxnSpPr>
      <xdr:spPr>
        <a:xfrm>
          <a:off x="11985812" y="5508812"/>
          <a:ext cx="194982" cy="744070"/>
        </a:xfrm>
        <a:prstGeom prst="line">
          <a:avLst/>
        </a:prstGeom>
        <a:ln>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212913</xdr:colOff>
      <xdr:row>26</xdr:row>
      <xdr:rowOff>11206</xdr:rowOff>
    </xdr:from>
    <xdr:to>
      <xdr:col>18</xdr:col>
      <xdr:colOff>369795</xdr:colOff>
      <xdr:row>27</xdr:row>
      <xdr:rowOff>0</xdr:rowOff>
    </xdr:to>
    <xdr:cxnSp macro="">
      <xdr:nvCxnSpPr>
        <xdr:cNvPr id="14" name="Straight Connector 13">
          <a:extLst>
            <a:ext uri="{FF2B5EF4-FFF2-40B4-BE49-F238E27FC236}">
              <a16:creationId xmlns:a16="http://schemas.microsoft.com/office/drawing/2014/main" id="{A3D2BCC8-5DC3-4553-9896-E0C26AC5938D}"/>
            </a:ext>
          </a:extLst>
        </xdr:cNvPr>
        <xdr:cNvCxnSpPr/>
      </xdr:nvCxnSpPr>
      <xdr:spPr>
        <a:xfrm>
          <a:off x="12853148" y="5905500"/>
          <a:ext cx="156882" cy="336176"/>
        </a:xfrm>
        <a:prstGeom prst="line">
          <a:avLst/>
        </a:prstGeom>
        <a:ln>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190501</xdr:colOff>
      <xdr:row>24</xdr:row>
      <xdr:rowOff>179294</xdr:rowOff>
    </xdr:from>
    <xdr:to>
      <xdr:col>19</xdr:col>
      <xdr:colOff>291353</xdr:colOff>
      <xdr:row>26</xdr:row>
      <xdr:rowOff>324971</xdr:rowOff>
    </xdr:to>
    <xdr:cxnSp macro="">
      <xdr:nvCxnSpPr>
        <xdr:cNvPr id="18" name="Straight Connector 17">
          <a:extLst>
            <a:ext uri="{FF2B5EF4-FFF2-40B4-BE49-F238E27FC236}">
              <a16:creationId xmlns:a16="http://schemas.microsoft.com/office/drawing/2014/main" id="{70452B13-0DB4-4C39-AC22-075F9BF70436}"/>
            </a:ext>
          </a:extLst>
        </xdr:cNvPr>
        <xdr:cNvCxnSpPr/>
      </xdr:nvCxnSpPr>
      <xdr:spPr>
        <a:xfrm>
          <a:off x="13637560" y="5681382"/>
          <a:ext cx="100852" cy="537883"/>
        </a:xfrm>
        <a:prstGeom prst="line">
          <a:avLst/>
        </a:prstGeom>
        <a:ln>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212912</xdr:colOff>
      <xdr:row>134</xdr:row>
      <xdr:rowOff>123264</xdr:rowOff>
    </xdr:from>
    <xdr:to>
      <xdr:col>13</xdr:col>
      <xdr:colOff>280147</xdr:colOff>
      <xdr:row>137</xdr:row>
      <xdr:rowOff>22412</xdr:rowOff>
    </xdr:to>
    <xdr:cxnSp macro="">
      <xdr:nvCxnSpPr>
        <xdr:cNvPr id="22" name="Straight Connector 21">
          <a:extLst>
            <a:ext uri="{FF2B5EF4-FFF2-40B4-BE49-F238E27FC236}">
              <a16:creationId xmlns:a16="http://schemas.microsoft.com/office/drawing/2014/main" id="{48D4E709-6DCA-4671-B47F-110472B9B0EC}"/>
            </a:ext>
          </a:extLst>
        </xdr:cNvPr>
        <xdr:cNvCxnSpPr/>
      </xdr:nvCxnSpPr>
      <xdr:spPr>
        <a:xfrm>
          <a:off x="9155206" y="27219088"/>
          <a:ext cx="67235" cy="493059"/>
        </a:xfrm>
        <a:prstGeom prst="line">
          <a:avLst/>
        </a:prstGeom>
        <a:ln>
          <a:solidFill>
            <a:schemeClr val="accent4">
              <a:lumMod val="40000"/>
              <a:lumOff val="6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156882</xdr:colOff>
      <xdr:row>126</xdr:row>
      <xdr:rowOff>134471</xdr:rowOff>
    </xdr:from>
    <xdr:to>
      <xdr:col>13</xdr:col>
      <xdr:colOff>381000</xdr:colOff>
      <xdr:row>137</xdr:row>
      <xdr:rowOff>11206</xdr:rowOff>
    </xdr:to>
    <xdr:cxnSp macro="">
      <xdr:nvCxnSpPr>
        <xdr:cNvPr id="23" name="Straight Connector 22">
          <a:extLst>
            <a:ext uri="{FF2B5EF4-FFF2-40B4-BE49-F238E27FC236}">
              <a16:creationId xmlns:a16="http://schemas.microsoft.com/office/drawing/2014/main" id="{D7994510-9C22-440F-8AFF-7092E8872504}"/>
            </a:ext>
          </a:extLst>
        </xdr:cNvPr>
        <xdr:cNvCxnSpPr/>
      </xdr:nvCxnSpPr>
      <xdr:spPr>
        <a:xfrm>
          <a:off x="9099176" y="25661471"/>
          <a:ext cx="224118" cy="2039470"/>
        </a:xfrm>
        <a:prstGeom prst="line">
          <a:avLst/>
        </a:prstGeom>
        <a:ln>
          <a:solidFill>
            <a:schemeClr val="accent4">
              <a:lumMod val="40000"/>
              <a:lumOff val="6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29135</xdr:colOff>
      <xdr:row>127</xdr:row>
      <xdr:rowOff>62753</xdr:rowOff>
    </xdr:from>
    <xdr:to>
      <xdr:col>12</xdr:col>
      <xdr:colOff>750794</xdr:colOff>
      <xdr:row>138</xdr:row>
      <xdr:rowOff>44824</xdr:rowOff>
    </xdr:to>
    <xdr:cxnSp macro="">
      <xdr:nvCxnSpPr>
        <xdr:cNvPr id="26" name="Straight Connector 25">
          <a:extLst>
            <a:ext uri="{FF2B5EF4-FFF2-40B4-BE49-F238E27FC236}">
              <a16:creationId xmlns:a16="http://schemas.microsoft.com/office/drawing/2014/main" id="{6EE24D03-4E61-4E5E-BD56-3D5AE66933F4}"/>
            </a:ext>
          </a:extLst>
        </xdr:cNvPr>
        <xdr:cNvCxnSpPr/>
      </xdr:nvCxnSpPr>
      <xdr:spPr>
        <a:xfrm>
          <a:off x="8187017" y="25780253"/>
          <a:ext cx="721659" cy="2144806"/>
        </a:xfrm>
        <a:prstGeom prst="line">
          <a:avLst/>
        </a:prstGeom>
        <a:ln>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22412</xdr:colOff>
      <xdr:row>135</xdr:row>
      <xdr:rowOff>100852</xdr:rowOff>
    </xdr:from>
    <xdr:to>
      <xdr:col>12</xdr:col>
      <xdr:colOff>773206</xdr:colOff>
      <xdr:row>138</xdr:row>
      <xdr:rowOff>134471</xdr:rowOff>
    </xdr:to>
    <xdr:cxnSp macro="">
      <xdr:nvCxnSpPr>
        <xdr:cNvPr id="28" name="Straight Connector 27">
          <a:extLst>
            <a:ext uri="{FF2B5EF4-FFF2-40B4-BE49-F238E27FC236}">
              <a16:creationId xmlns:a16="http://schemas.microsoft.com/office/drawing/2014/main" id="{DFA619B8-CEE4-44DF-A682-CC0738092497}"/>
            </a:ext>
          </a:extLst>
        </xdr:cNvPr>
        <xdr:cNvCxnSpPr/>
      </xdr:nvCxnSpPr>
      <xdr:spPr>
        <a:xfrm>
          <a:off x="8180294" y="27387176"/>
          <a:ext cx="750794" cy="627530"/>
        </a:xfrm>
        <a:prstGeom prst="line">
          <a:avLst/>
        </a:prstGeom>
        <a:ln>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459442</xdr:colOff>
      <xdr:row>13</xdr:row>
      <xdr:rowOff>123265</xdr:rowOff>
    </xdr:from>
    <xdr:to>
      <xdr:col>13</xdr:col>
      <xdr:colOff>638735</xdr:colOff>
      <xdr:row>16</xdr:row>
      <xdr:rowOff>44824</xdr:rowOff>
    </xdr:to>
    <xdr:cxnSp macro="">
      <xdr:nvCxnSpPr>
        <xdr:cNvPr id="15" name="Straight Arrow Connector 14">
          <a:extLst>
            <a:ext uri="{FF2B5EF4-FFF2-40B4-BE49-F238E27FC236}">
              <a16:creationId xmlns:a16="http://schemas.microsoft.com/office/drawing/2014/main" id="{E216901F-0E51-4F4B-AA8D-A475CAF76FC5}"/>
            </a:ext>
          </a:extLst>
        </xdr:cNvPr>
        <xdr:cNvCxnSpPr/>
      </xdr:nvCxnSpPr>
      <xdr:spPr>
        <a:xfrm>
          <a:off x="7855324" y="3507441"/>
          <a:ext cx="1725705" cy="493059"/>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56030</xdr:colOff>
      <xdr:row>9</xdr:row>
      <xdr:rowOff>134471</xdr:rowOff>
    </xdr:from>
    <xdr:to>
      <xdr:col>15</xdr:col>
      <xdr:colOff>446171</xdr:colOff>
      <xdr:row>10</xdr:row>
      <xdr:rowOff>255671</xdr:rowOff>
    </xdr:to>
    <xdr:cxnSp macro="">
      <xdr:nvCxnSpPr>
        <xdr:cNvPr id="16" name="Straight Arrow Connector 15">
          <a:extLst>
            <a:ext uri="{FF2B5EF4-FFF2-40B4-BE49-F238E27FC236}">
              <a16:creationId xmlns:a16="http://schemas.microsoft.com/office/drawing/2014/main" id="{B4DCDA84-6B84-4901-8885-3C64BCE5CDFA}"/>
            </a:ext>
          </a:extLst>
        </xdr:cNvPr>
        <xdr:cNvCxnSpPr/>
      </xdr:nvCxnSpPr>
      <xdr:spPr>
        <a:xfrm>
          <a:off x="8213912" y="2610971"/>
          <a:ext cx="2575288" cy="311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616324</xdr:colOff>
      <xdr:row>12</xdr:row>
      <xdr:rowOff>123265</xdr:rowOff>
    </xdr:from>
    <xdr:to>
      <xdr:col>14</xdr:col>
      <xdr:colOff>246529</xdr:colOff>
      <xdr:row>17</xdr:row>
      <xdr:rowOff>78442</xdr:rowOff>
    </xdr:to>
    <xdr:cxnSp macro="">
      <xdr:nvCxnSpPr>
        <xdr:cNvPr id="17" name="Straight Arrow Connector 16">
          <a:extLst>
            <a:ext uri="{FF2B5EF4-FFF2-40B4-BE49-F238E27FC236}">
              <a16:creationId xmlns:a16="http://schemas.microsoft.com/office/drawing/2014/main" id="{AE8D4FDF-DDB2-49E1-B165-7DFDDFD802F8}"/>
            </a:ext>
          </a:extLst>
        </xdr:cNvPr>
        <xdr:cNvCxnSpPr/>
      </xdr:nvCxnSpPr>
      <xdr:spPr>
        <a:xfrm flipV="1">
          <a:off x="5726206" y="3316941"/>
          <a:ext cx="4258235" cy="918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89648</xdr:colOff>
      <xdr:row>252</xdr:row>
      <xdr:rowOff>179294</xdr:rowOff>
    </xdr:from>
    <xdr:to>
      <xdr:col>3</xdr:col>
      <xdr:colOff>537883</xdr:colOff>
      <xdr:row>258</xdr:row>
      <xdr:rowOff>67236</xdr:rowOff>
    </xdr:to>
    <xdr:sp macro="" textlink="">
      <xdr:nvSpPr>
        <xdr:cNvPr id="94" name="Multiplication Sign 93">
          <a:extLst>
            <a:ext uri="{FF2B5EF4-FFF2-40B4-BE49-F238E27FC236}">
              <a16:creationId xmlns:a16="http://schemas.microsoft.com/office/drawing/2014/main" id="{0CEB31B8-018B-440B-AEEF-00A8BE774E87}"/>
            </a:ext>
          </a:extLst>
        </xdr:cNvPr>
        <xdr:cNvSpPr/>
      </xdr:nvSpPr>
      <xdr:spPr>
        <a:xfrm>
          <a:off x="1905001" y="44330470"/>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141195</xdr:colOff>
      <xdr:row>252</xdr:row>
      <xdr:rowOff>174812</xdr:rowOff>
    </xdr:from>
    <xdr:to>
      <xdr:col>5</xdr:col>
      <xdr:colOff>589430</xdr:colOff>
      <xdr:row>258</xdr:row>
      <xdr:rowOff>62754</xdr:rowOff>
    </xdr:to>
    <xdr:sp macro="" textlink="">
      <xdr:nvSpPr>
        <xdr:cNvPr id="95" name="Multiplication Sign 94">
          <a:extLst>
            <a:ext uri="{FF2B5EF4-FFF2-40B4-BE49-F238E27FC236}">
              <a16:creationId xmlns:a16="http://schemas.microsoft.com/office/drawing/2014/main" id="{C19D3F83-8217-49CE-B4EF-81EDDB8BC743}"/>
            </a:ext>
          </a:extLst>
        </xdr:cNvPr>
        <xdr:cNvSpPr/>
      </xdr:nvSpPr>
      <xdr:spPr>
        <a:xfrm>
          <a:off x="3166783" y="44325988"/>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103095</xdr:colOff>
      <xdr:row>252</xdr:row>
      <xdr:rowOff>181536</xdr:rowOff>
    </xdr:from>
    <xdr:to>
      <xdr:col>6</xdr:col>
      <xdr:colOff>551330</xdr:colOff>
      <xdr:row>258</xdr:row>
      <xdr:rowOff>69478</xdr:rowOff>
    </xdr:to>
    <xdr:sp macro="" textlink="">
      <xdr:nvSpPr>
        <xdr:cNvPr id="96" name="Multiplication Sign 95">
          <a:extLst>
            <a:ext uri="{FF2B5EF4-FFF2-40B4-BE49-F238E27FC236}">
              <a16:creationId xmlns:a16="http://schemas.microsoft.com/office/drawing/2014/main" id="{7F52DE28-4035-4106-A38D-8CC5986DC3E9}"/>
            </a:ext>
          </a:extLst>
        </xdr:cNvPr>
        <xdr:cNvSpPr/>
      </xdr:nvSpPr>
      <xdr:spPr>
        <a:xfrm>
          <a:off x="3924301" y="44332712"/>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100853</xdr:colOff>
      <xdr:row>265</xdr:row>
      <xdr:rowOff>183776</xdr:rowOff>
    </xdr:from>
    <xdr:to>
      <xdr:col>3</xdr:col>
      <xdr:colOff>549088</xdr:colOff>
      <xdr:row>271</xdr:row>
      <xdr:rowOff>71718</xdr:rowOff>
    </xdr:to>
    <xdr:sp macro="" textlink="">
      <xdr:nvSpPr>
        <xdr:cNvPr id="97" name="Multiplication Sign 96">
          <a:extLst>
            <a:ext uri="{FF2B5EF4-FFF2-40B4-BE49-F238E27FC236}">
              <a16:creationId xmlns:a16="http://schemas.microsoft.com/office/drawing/2014/main" id="{1A2E7AAE-FDB5-4A09-9CD4-EE60695D95EA}"/>
            </a:ext>
          </a:extLst>
        </xdr:cNvPr>
        <xdr:cNvSpPr/>
      </xdr:nvSpPr>
      <xdr:spPr>
        <a:xfrm>
          <a:off x="1916206" y="46430452"/>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85162</xdr:colOff>
      <xdr:row>265</xdr:row>
      <xdr:rowOff>179294</xdr:rowOff>
    </xdr:from>
    <xdr:to>
      <xdr:col>4</xdr:col>
      <xdr:colOff>533397</xdr:colOff>
      <xdr:row>271</xdr:row>
      <xdr:rowOff>67236</xdr:rowOff>
    </xdr:to>
    <xdr:sp macro="" textlink="">
      <xdr:nvSpPr>
        <xdr:cNvPr id="98" name="Multiplication Sign 97">
          <a:extLst>
            <a:ext uri="{FF2B5EF4-FFF2-40B4-BE49-F238E27FC236}">
              <a16:creationId xmlns:a16="http://schemas.microsoft.com/office/drawing/2014/main" id="{0BD991F0-80DD-42D8-A348-D38DBF5852E5}"/>
            </a:ext>
          </a:extLst>
        </xdr:cNvPr>
        <xdr:cNvSpPr/>
      </xdr:nvSpPr>
      <xdr:spPr>
        <a:xfrm>
          <a:off x="2505633" y="46425970"/>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114300</xdr:colOff>
      <xdr:row>265</xdr:row>
      <xdr:rowOff>186018</xdr:rowOff>
    </xdr:from>
    <xdr:to>
      <xdr:col>6</xdr:col>
      <xdr:colOff>562535</xdr:colOff>
      <xdr:row>271</xdr:row>
      <xdr:rowOff>73960</xdr:rowOff>
    </xdr:to>
    <xdr:sp macro="" textlink="">
      <xdr:nvSpPr>
        <xdr:cNvPr id="99" name="Multiplication Sign 98">
          <a:extLst>
            <a:ext uri="{FF2B5EF4-FFF2-40B4-BE49-F238E27FC236}">
              <a16:creationId xmlns:a16="http://schemas.microsoft.com/office/drawing/2014/main" id="{F6B17C92-7C47-4CC0-95B3-42CE6282EE0B}"/>
            </a:ext>
          </a:extLst>
        </xdr:cNvPr>
        <xdr:cNvSpPr/>
      </xdr:nvSpPr>
      <xdr:spPr>
        <a:xfrm>
          <a:off x="3935506" y="46432694"/>
          <a:ext cx="448235" cy="1030942"/>
        </a:xfrm>
        <a:prstGeom prst="mathMultiply">
          <a:avLst/>
        </a:prstGeom>
        <a:solidFill>
          <a:schemeClr val="bg1">
            <a:lumMod val="75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111643</xdr:colOff>
      <xdr:row>298</xdr:row>
      <xdr:rowOff>174271</xdr:rowOff>
    </xdr:from>
    <xdr:ext cx="5131247" cy="622350"/>
    <mc:AlternateContent xmlns:mc="http://schemas.openxmlformats.org/markup-compatibility/2006" xmlns:a14="http://schemas.microsoft.com/office/drawing/2010/main">
      <mc:Choice Requires="a14">
        <xdr:sp macro="" textlink="">
          <xdr:nvSpPr>
            <xdr:cNvPr id="100" name="TextBox 99">
              <a:extLst>
                <a:ext uri="{FF2B5EF4-FFF2-40B4-BE49-F238E27FC236}">
                  <a16:creationId xmlns:a16="http://schemas.microsoft.com/office/drawing/2014/main" id="{52D3FC96-4A36-43C2-A3E4-58D199A8ECE7}"/>
                </a:ext>
              </a:extLst>
            </xdr:cNvPr>
            <xdr:cNvSpPr txBox="1"/>
          </xdr:nvSpPr>
          <xdr:spPr>
            <a:xfrm>
              <a:off x="1337469" y="53439728"/>
              <a:ext cx="5131247" cy="622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800" b="0" i="1">
                            <a:latin typeface="Cambria Math" panose="02040503050406030204" pitchFamily="18" charset="0"/>
                          </a:rPr>
                        </m:ctrlPr>
                      </m:fPr>
                      <m:num>
                        <m:d>
                          <m:dPr>
                            <m:ctrlPr>
                              <a:rPr lang="en-US" sz="1800" b="0" i="1">
                                <a:latin typeface="Cambria Math" panose="02040503050406030204" pitchFamily="18" charset="0"/>
                              </a:rPr>
                            </m:ctrlPr>
                          </m:dPr>
                          <m:e>
                            <m:r>
                              <a:rPr lang="en-US" sz="1800" b="0" i="1">
                                <a:latin typeface="Cambria Math" panose="02040503050406030204" pitchFamily="18" charset="0"/>
                              </a:rPr>
                              <m:t>𝑎</m:t>
                            </m:r>
                            <m:r>
                              <a:rPr lang="en-US" sz="1800" b="0" i="1">
                                <a:latin typeface="Cambria Math" panose="02040503050406030204" pitchFamily="18" charset="0"/>
                              </a:rPr>
                              <m:t>+</m:t>
                            </m:r>
                            <m:r>
                              <a:rPr lang="en-US" sz="1800" b="0" i="1">
                                <a:latin typeface="Cambria Math" panose="02040503050406030204" pitchFamily="18" charset="0"/>
                              </a:rPr>
                              <m:t>𝑏</m:t>
                            </m:r>
                          </m:e>
                        </m:d>
                      </m:num>
                      <m:den>
                        <m:r>
                          <a:rPr lang="en-US" sz="1800" b="0" i="1">
                            <a:latin typeface="Cambria Math" panose="02040503050406030204" pitchFamily="18" charset="0"/>
                          </a:rPr>
                          <m:t>𝑎</m:t>
                        </m:r>
                      </m:den>
                    </m:f>
                    <m:r>
                      <a:rPr lang="en-US" sz="1800" b="0" i="1">
                        <a:solidFill>
                          <a:schemeClr val="bg1">
                            <a:lumMod val="65000"/>
                          </a:schemeClr>
                        </a:solidFill>
                        <a:latin typeface="Cambria Math" panose="02040503050406030204" pitchFamily="18" charset="0"/>
                      </a:rPr>
                      <m:t>𝑠h𝑎𝑟𝑒𝑠</m:t>
                    </m:r>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𝑎</m:t>
                        </m:r>
                      </m:num>
                      <m:den>
                        <m:d>
                          <m:dPr>
                            <m:ctrlPr>
                              <a:rPr lang="en-US" sz="1800" b="0" i="1">
                                <a:latin typeface="Cambria Math" panose="02040503050406030204" pitchFamily="18" charset="0"/>
                              </a:rPr>
                            </m:ctrlPr>
                          </m:dPr>
                          <m:e>
                            <m:r>
                              <a:rPr lang="en-US" sz="1800" b="0" i="1">
                                <a:latin typeface="Cambria Math" panose="02040503050406030204" pitchFamily="18" charset="0"/>
                              </a:rPr>
                              <m:t>𝑎</m:t>
                            </m:r>
                            <m:r>
                              <a:rPr lang="en-US" sz="1800" b="0" i="1">
                                <a:latin typeface="Cambria Math" panose="02040503050406030204" pitchFamily="18" charset="0"/>
                              </a:rPr>
                              <m:t>+</m:t>
                            </m:r>
                            <m:r>
                              <a:rPr lang="en-US" sz="1800" b="0" i="1">
                                <a:latin typeface="Cambria Math" panose="02040503050406030204" pitchFamily="18" charset="0"/>
                              </a:rPr>
                              <m:t>𝑏</m:t>
                            </m:r>
                          </m:e>
                        </m:d>
                      </m:den>
                    </m:f>
                    <m:d>
                      <m:dPr>
                        <m:ctrlPr>
                          <a:rPr lang="en-US" sz="1800" b="0" i="1">
                            <a:solidFill>
                              <a:schemeClr val="bg1">
                                <a:lumMod val="65000"/>
                              </a:schemeClr>
                            </a:solidFill>
                            <a:latin typeface="Cambria Math" panose="02040503050406030204" pitchFamily="18" charset="0"/>
                          </a:rPr>
                        </m:ctrlPr>
                      </m:dPr>
                      <m:e>
                        <m:f>
                          <m:fPr>
                            <m:ctrlPr>
                              <a:rPr lang="en-US" sz="1800" b="0" i="1">
                                <a:solidFill>
                                  <a:schemeClr val="bg1">
                                    <a:lumMod val="65000"/>
                                  </a:schemeClr>
                                </a:solidFill>
                                <a:latin typeface="Cambria Math" panose="02040503050406030204" pitchFamily="18" charset="0"/>
                              </a:rPr>
                            </m:ctrlPr>
                          </m:fPr>
                          <m:num>
                            <m:r>
                              <a:rPr lang="en-US" sz="1800" b="0" i="1">
                                <a:solidFill>
                                  <a:schemeClr val="bg1">
                                    <a:lumMod val="65000"/>
                                  </a:schemeClr>
                                </a:solidFill>
                                <a:latin typeface="Cambria Math" panose="02040503050406030204" pitchFamily="18" charset="0"/>
                              </a:rPr>
                              <m:t>$</m:t>
                            </m:r>
                          </m:num>
                          <m:den>
                            <m:r>
                              <a:rPr lang="en-US" sz="1800" b="0" i="1">
                                <a:solidFill>
                                  <a:schemeClr val="bg1">
                                    <a:lumMod val="65000"/>
                                  </a:schemeClr>
                                </a:solidFill>
                                <a:latin typeface="Cambria Math" panose="02040503050406030204" pitchFamily="18" charset="0"/>
                              </a:rPr>
                              <m:t>𝑠h𝑎𝑟𝑒</m:t>
                            </m:r>
                          </m:den>
                        </m:f>
                      </m:e>
                    </m:d>
                    <m:r>
                      <a:rPr lang="en-US" sz="1800" b="0" i="1">
                        <a:latin typeface="Cambria Math" panose="02040503050406030204" pitchFamily="18" charset="0"/>
                      </a:rPr>
                      <m:t>=</m:t>
                    </m:r>
                    <m:r>
                      <a:rPr lang="en-US" sz="1800" b="0" i="1">
                        <a:solidFill>
                          <a:schemeClr val="bg1">
                            <a:lumMod val="65000"/>
                          </a:schemeClr>
                        </a:solidFill>
                        <a:latin typeface="Cambria Math" panose="02040503050406030204" pitchFamily="18" charset="0"/>
                      </a:rPr>
                      <m:t>$</m:t>
                    </m:r>
                    <m:r>
                      <a:rPr lang="en-US" sz="1800" b="0" i="1">
                        <a:latin typeface="Cambria Math" panose="02040503050406030204" pitchFamily="18" charset="0"/>
                      </a:rPr>
                      <m:t>1</m:t>
                    </m:r>
                  </m:oMath>
                </m:oMathPara>
              </a14:m>
              <a:endParaRPr lang="en-US" sz="3200"/>
            </a:p>
          </xdr:txBody>
        </xdr:sp>
      </mc:Choice>
      <mc:Fallback xmlns="">
        <xdr:sp macro="" textlink="">
          <xdr:nvSpPr>
            <xdr:cNvPr id="100" name="TextBox 99">
              <a:extLst>
                <a:ext uri="{FF2B5EF4-FFF2-40B4-BE49-F238E27FC236}">
                  <a16:creationId xmlns:a16="http://schemas.microsoft.com/office/drawing/2014/main" id="{52D3FC96-4A36-43C2-A3E4-58D199A8ECE7}"/>
                </a:ext>
              </a:extLst>
            </xdr:cNvPr>
            <xdr:cNvSpPr txBox="1"/>
          </xdr:nvSpPr>
          <xdr:spPr>
            <a:xfrm>
              <a:off x="1337469" y="53439728"/>
              <a:ext cx="5131247" cy="622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800" b="0" i="0">
                  <a:latin typeface="Cambria Math" panose="02040503050406030204" pitchFamily="18" charset="0"/>
                </a:rPr>
                <a:t>((𝑎+𝑏))/𝑎</a:t>
              </a:r>
              <a:r>
                <a:rPr lang="en-US" sz="1800" b="0" i="0">
                  <a:solidFill>
                    <a:schemeClr val="bg1">
                      <a:lumMod val="65000"/>
                    </a:schemeClr>
                  </a:solidFill>
                  <a:latin typeface="Cambria Math" panose="02040503050406030204" pitchFamily="18" charset="0"/>
                </a:rPr>
                <a:t> 𝑠ℎ𝑎𝑟𝑒𝑠</a:t>
              </a:r>
              <a:r>
                <a:rPr lang="en-US" sz="1800" b="0" i="0">
                  <a:latin typeface="Cambria Math" panose="02040503050406030204" pitchFamily="18" charset="0"/>
                </a:rPr>
                <a:t>∗𝑎/((𝑎+𝑏) )</a:t>
              </a:r>
              <a:r>
                <a:rPr lang="en-US" sz="1800" b="0" i="0">
                  <a:solidFill>
                    <a:schemeClr val="bg1">
                      <a:lumMod val="65000"/>
                    </a:schemeClr>
                  </a:solidFill>
                  <a:latin typeface="Cambria Math" panose="02040503050406030204" pitchFamily="18" charset="0"/>
                </a:rPr>
                <a:t> ($/𝑠ℎ𝑎𝑟𝑒)</a:t>
              </a:r>
              <a:r>
                <a:rPr lang="en-US" sz="1800" b="0" i="0">
                  <a:latin typeface="Cambria Math" panose="02040503050406030204" pitchFamily="18" charset="0"/>
                </a:rPr>
                <a:t>=</a:t>
              </a:r>
              <a:r>
                <a:rPr lang="en-US" sz="1800" b="0" i="0">
                  <a:solidFill>
                    <a:schemeClr val="bg1">
                      <a:lumMod val="65000"/>
                    </a:schemeClr>
                  </a:solidFill>
                  <a:latin typeface="Cambria Math" panose="02040503050406030204" pitchFamily="18" charset="0"/>
                </a:rPr>
                <a:t>$</a:t>
              </a:r>
              <a:r>
                <a:rPr lang="en-US" sz="1800" b="0" i="0">
                  <a:latin typeface="Cambria Math" panose="02040503050406030204" pitchFamily="18" charset="0"/>
                </a:rPr>
                <a:t>1</a:t>
              </a:r>
              <a:endParaRPr lang="en-US" sz="3200"/>
            </a:p>
          </xdr:txBody>
        </xdr:sp>
      </mc:Fallback>
    </mc:AlternateContent>
    <xdr:clientData/>
  </xdr:oneCellAnchor>
  <xdr:twoCellAnchor>
    <xdr:from>
      <xdr:col>6</xdr:col>
      <xdr:colOff>28575</xdr:colOff>
      <xdr:row>295</xdr:row>
      <xdr:rowOff>42941</xdr:rowOff>
    </xdr:from>
    <xdr:to>
      <xdr:col>10</xdr:col>
      <xdr:colOff>304800</xdr:colOff>
      <xdr:row>296</xdr:row>
      <xdr:rowOff>180975</xdr:rowOff>
    </xdr:to>
    <xdr:sp macro="" textlink="">
      <xdr:nvSpPr>
        <xdr:cNvPr id="101" name="Freeform: Shape 100">
          <a:extLst>
            <a:ext uri="{FF2B5EF4-FFF2-40B4-BE49-F238E27FC236}">
              <a16:creationId xmlns:a16="http://schemas.microsoft.com/office/drawing/2014/main" id="{E4508449-AB84-4232-8BE9-33E84A1120B3}"/>
            </a:ext>
          </a:extLst>
        </xdr:cNvPr>
        <xdr:cNvSpPr/>
      </xdr:nvSpPr>
      <xdr:spPr>
        <a:xfrm>
          <a:off x="3876675" y="52792391"/>
          <a:ext cx="3086100" cy="328534"/>
        </a:xfrm>
        <a:custGeom>
          <a:avLst/>
          <a:gdLst>
            <a:gd name="connsiteX0" fmla="*/ 0 w 3086100"/>
            <a:gd name="connsiteY0" fmla="*/ 42784 h 328534"/>
            <a:gd name="connsiteX1" fmla="*/ 2552700 w 3086100"/>
            <a:gd name="connsiteY1" fmla="*/ 23734 h 328534"/>
            <a:gd name="connsiteX2" fmla="*/ 3086100 w 3086100"/>
            <a:gd name="connsiteY2" fmla="*/ 328534 h 328534"/>
          </a:gdLst>
          <a:ahLst/>
          <a:cxnLst>
            <a:cxn ang="0">
              <a:pos x="connsiteX0" y="connsiteY0"/>
            </a:cxn>
            <a:cxn ang="0">
              <a:pos x="connsiteX1" y="connsiteY1"/>
            </a:cxn>
            <a:cxn ang="0">
              <a:pos x="connsiteX2" y="connsiteY2"/>
            </a:cxn>
          </a:cxnLst>
          <a:rect l="l" t="t" r="r" b="b"/>
          <a:pathLst>
            <a:path w="3086100" h="328534">
              <a:moveTo>
                <a:pt x="0" y="42784"/>
              </a:moveTo>
              <a:cubicBezTo>
                <a:pt x="1019175" y="9446"/>
                <a:pt x="2038350" y="-23891"/>
                <a:pt x="2552700" y="23734"/>
              </a:cubicBezTo>
              <a:cubicBezTo>
                <a:pt x="3067050" y="71359"/>
                <a:pt x="3076575" y="199946"/>
                <a:pt x="3086100" y="328534"/>
              </a:cubicBezTo>
            </a:path>
          </a:pathLst>
        </a:cu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478024</xdr:colOff>
      <xdr:row>248</xdr:row>
      <xdr:rowOff>126014</xdr:rowOff>
    </xdr:from>
    <xdr:to>
      <xdr:col>9</xdr:col>
      <xdr:colOff>589261</xdr:colOff>
      <xdr:row>296</xdr:row>
      <xdr:rowOff>149679</xdr:rowOff>
    </xdr:to>
    <xdr:sp macro="" textlink="">
      <xdr:nvSpPr>
        <xdr:cNvPr id="105" name="Freeform: Shape 104">
          <a:extLst>
            <a:ext uri="{FF2B5EF4-FFF2-40B4-BE49-F238E27FC236}">
              <a16:creationId xmlns:a16="http://schemas.microsoft.com/office/drawing/2014/main" id="{400A1A2E-5A7F-46A1-87BE-4A81BCBF6250}"/>
            </a:ext>
          </a:extLst>
        </xdr:cNvPr>
        <xdr:cNvSpPr/>
      </xdr:nvSpPr>
      <xdr:spPr>
        <a:xfrm>
          <a:off x="4346002" y="43866471"/>
          <a:ext cx="2157042" cy="9167665"/>
        </a:xfrm>
        <a:custGeom>
          <a:avLst/>
          <a:gdLst>
            <a:gd name="connsiteX0" fmla="*/ 0 w 1810286"/>
            <a:gd name="connsiteY0" fmla="*/ 0 h 9225643"/>
            <a:gd name="connsiteX1" fmla="*/ 1279072 w 1810286"/>
            <a:gd name="connsiteY1" fmla="*/ 1551214 h 9225643"/>
            <a:gd name="connsiteX2" fmla="*/ 1782536 w 1810286"/>
            <a:gd name="connsiteY2" fmla="*/ 7034893 h 9225643"/>
            <a:gd name="connsiteX3" fmla="*/ 517072 w 1810286"/>
            <a:gd name="connsiteY3" fmla="*/ 9225643 h 9225643"/>
            <a:gd name="connsiteX0" fmla="*/ 0 w 2395615"/>
            <a:gd name="connsiteY0" fmla="*/ 0 h 9200795"/>
            <a:gd name="connsiteX1" fmla="*/ 1857720 w 2395615"/>
            <a:gd name="connsiteY1" fmla="*/ 1526366 h 9200795"/>
            <a:gd name="connsiteX2" fmla="*/ 2361184 w 2395615"/>
            <a:gd name="connsiteY2" fmla="*/ 7010045 h 9200795"/>
            <a:gd name="connsiteX3" fmla="*/ 1095720 w 2395615"/>
            <a:gd name="connsiteY3" fmla="*/ 9200795 h 9200795"/>
            <a:gd name="connsiteX0" fmla="*/ 0 w 2052486"/>
            <a:gd name="connsiteY0" fmla="*/ 0 h 9134534"/>
            <a:gd name="connsiteX1" fmla="*/ 1518798 w 2052486"/>
            <a:gd name="connsiteY1" fmla="*/ 1460105 h 9134534"/>
            <a:gd name="connsiteX2" fmla="*/ 2022262 w 2052486"/>
            <a:gd name="connsiteY2" fmla="*/ 6943784 h 9134534"/>
            <a:gd name="connsiteX3" fmla="*/ 756798 w 2052486"/>
            <a:gd name="connsiteY3" fmla="*/ 9134534 h 9134534"/>
            <a:gd name="connsiteX0" fmla="*/ 0 w 2152820"/>
            <a:gd name="connsiteY0" fmla="*/ 0 h 9167665"/>
            <a:gd name="connsiteX1" fmla="*/ 1617994 w 2152820"/>
            <a:gd name="connsiteY1" fmla="*/ 1493236 h 9167665"/>
            <a:gd name="connsiteX2" fmla="*/ 2121458 w 2152820"/>
            <a:gd name="connsiteY2" fmla="*/ 6976915 h 9167665"/>
            <a:gd name="connsiteX3" fmla="*/ 855994 w 2152820"/>
            <a:gd name="connsiteY3" fmla="*/ 9167665 h 9167665"/>
          </a:gdLst>
          <a:ahLst/>
          <a:cxnLst>
            <a:cxn ang="0">
              <a:pos x="connsiteX0" y="connsiteY0"/>
            </a:cxn>
            <a:cxn ang="0">
              <a:pos x="connsiteX1" y="connsiteY1"/>
            </a:cxn>
            <a:cxn ang="0">
              <a:pos x="connsiteX2" y="connsiteY2"/>
            </a:cxn>
            <a:cxn ang="0">
              <a:pos x="connsiteX3" y="connsiteY3"/>
            </a:cxn>
          </a:cxnLst>
          <a:rect l="l" t="t" r="r" b="b"/>
          <a:pathLst>
            <a:path w="2152820" h="9167665">
              <a:moveTo>
                <a:pt x="0" y="0"/>
              </a:moveTo>
              <a:cubicBezTo>
                <a:pt x="490991" y="189366"/>
                <a:pt x="1264418" y="330417"/>
                <a:pt x="1617994" y="1493236"/>
              </a:cubicBezTo>
              <a:cubicBezTo>
                <a:pt x="1971570" y="2656055"/>
                <a:pt x="2248458" y="5697843"/>
                <a:pt x="2121458" y="6976915"/>
              </a:cubicBezTo>
              <a:cubicBezTo>
                <a:pt x="1994458" y="8255987"/>
                <a:pt x="1425226" y="8711826"/>
                <a:pt x="855994" y="9167665"/>
              </a:cubicBezTo>
            </a:path>
          </a:pathLst>
        </a:cu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484909</xdr:colOff>
      <xdr:row>1</xdr:row>
      <xdr:rowOff>13854</xdr:rowOff>
    </xdr:from>
    <xdr:to>
      <xdr:col>21</xdr:col>
      <xdr:colOff>502228</xdr:colOff>
      <xdr:row>10</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469097</xdr:colOff>
      <xdr:row>10</xdr:row>
      <xdr:rowOff>187036</xdr:rowOff>
    </xdr:from>
    <xdr:to>
      <xdr:col>21</xdr:col>
      <xdr:colOff>521805</xdr:colOff>
      <xdr:row>24</xdr:row>
      <xdr:rowOff>17318</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484909</xdr:colOff>
      <xdr:row>1</xdr:row>
      <xdr:rowOff>13854</xdr:rowOff>
    </xdr:from>
    <xdr:to>
      <xdr:col>22</xdr:col>
      <xdr:colOff>502228</xdr:colOff>
      <xdr:row>10</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469097</xdr:colOff>
      <xdr:row>10</xdr:row>
      <xdr:rowOff>187036</xdr:rowOff>
    </xdr:from>
    <xdr:to>
      <xdr:col>22</xdr:col>
      <xdr:colOff>521805</xdr:colOff>
      <xdr:row>24</xdr:row>
      <xdr:rowOff>17318</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76200</xdr:colOff>
      <xdr:row>11</xdr:row>
      <xdr:rowOff>116931</xdr:rowOff>
    </xdr:from>
    <xdr:to>
      <xdr:col>20</xdr:col>
      <xdr:colOff>180976</xdr:colOff>
      <xdr:row>27</xdr:row>
      <xdr:rowOff>19049</xdr:rowOff>
    </xdr:to>
    <xdr:pic>
      <xdr:nvPicPr>
        <xdr:cNvPr id="2" name="Picture 1">
          <a:extLst>
            <a:ext uri="{FF2B5EF4-FFF2-40B4-BE49-F238E27FC236}">
              <a16:creationId xmlns:a16="http://schemas.microsoft.com/office/drawing/2014/main" id="{F7BD1814-549E-43D8-A5FB-6BAE2B662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2460081"/>
          <a:ext cx="3152775" cy="296916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762000</xdr:colOff>
      <xdr:row>14</xdr:row>
      <xdr:rowOff>27214</xdr:rowOff>
    </xdr:from>
    <xdr:to>
      <xdr:col>15</xdr:col>
      <xdr:colOff>390525</xdr:colOff>
      <xdr:row>19</xdr:row>
      <xdr:rowOff>85725</xdr:rowOff>
    </xdr:to>
    <xdr:cxnSp macro="">
      <xdr:nvCxnSpPr>
        <xdr:cNvPr id="5" name="Straight Arrow Connector 4">
          <a:extLst>
            <a:ext uri="{FF2B5EF4-FFF2-40B4-BE49-F238E27FC236}">
              <a16:creationId xmlns:a16="http://schemas.microsoft.com/office/drawing/2014/main" id="{37DC8BC1-9F5B-4483-938A-1FBF3784ADE3}"/>
            </a:ext>
          </a:extLst>
        </xdr:cNvPr>
        <xdr:cNvCxnSpPr/>
      </xdr:nvCxnSpPr>
      <xdr:spPr>
        <a:xfrm>
          <a:off x="3823607" y="4041321"/>
          <a:ext cx="6159954" cy="10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606238</xdr:colOff>
      <xdr:row>16</xdr:row>
      <xdr:rowOff>133350</xdr:rowOff>
    </xdr:from>
    <xdr:to>
      <xdr:col>16</xdr:col>
      <xdr:colOff>85725</xdr:colOff>
      <xdr:row>19</xdr:row>
      <xdr:rowOff>67237</xdr:rowOff>
    </xdr:to>
    <xdr:cxnSp macro="">
      <xdr:nvCxnSpPr>
        <xdr:cNvPr id="6" name="Straight Arrow Connector 5">
          <a:extLst>
            <a:ext uri="{FF2B5EF4-FFF2-40B4-BE49-F238E27FC236}">
              <a16:creationId xmlns:a16="http://schemas.microsoft.com/office/drawing/2014/main" id="{BD1378C2-29F6-4162-A72B-ADED7AFCC14F}"/>
            </a:ext>
          </a:extLst>
        </xdr:cNvPr>
        <xdr:cNvCxnSpPr/>
      </xdr:nvCxnSpPr>
      <xdr:spPr>
        <a:xfrm flipV="1">
          <a:off x="3044638" y="3429000"/>
          <a:ext cx="6794687" cy="514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843643</xdr:colOff>
      <xdr:row>9</xdr:row>
      <xdr:rowOff>27214</xdr:rowOff>
    </xdr:from>
    <xdr:to>
      <xdr:col>17</xdr:col>
      <xdr:colOff>295275</xdr:colOff>
      <xdr:row>13</xdr:row>
      <xdr:rowOff>28575</xdr:rowOff>
    </xdr:to>
    <xdr:cxnSp macro="">
      <xdr:nvCxnSpPr>
        <xdr:cNvPr id="7" name="Straight Arrow Connector 6">
          <a:extLst>
            <a:ext uri="{FF2B5EF4-FFF2-40B4-BE49-F238E27FC236}">
              <a16:creationId xmlns:a16="http://schemas.microsoft.com/office/drawing/2014/main" id="{B0210494-D2C8-4D82-B44D-25B91029015F}"/>
            </a:ext>
          </a:extLst>
        </xdr:cNvPr>
        <xdr:cNvCxnSpPr/>
      </xdr:nvCxnSpPr>
      <xdr:spPr>
        <a:xfrm>
          <a:off x="3905250" y="3088821"/>
          <a:ext cx="7207704" cy="76336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565316</xdr:colOff>
      <xdr:row>50</xdr:row>
      <xdr:rowOff>103909</xdr:rowOff>
    </xdr:from>
    <xdr:to>
      <xdr:col>11</xdr:col>
      <xdr:colOff>512977</xdr:colOff>
      <xdr:row>79</xdr:row>
      <xdr:rowOff>178378</xdr:rowOff>
    </xdr:to>
    <xdr:pic>
      <xdr:nvPicPr>
        <xdr:cNvPr id="14" name="Picture 13">
          <a:extLst>
            <a:ext uri="{FF2B5EF4-FFF2-40B4-BE49-F238E27FC236}">
              <a16:creationId xmlns:a16="http://schemas.microsoft.com/office/drawing/2014/main" id="{878D3E95-36C4-43D6-8339-C0FA8B44A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316" y="9288730"/>
          <a:ext cx="7091411" cy="559896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105146</xdr:colOff>
      <xdr:row>50</xdr:row>
      <xdr:rowOff>147315</xdr:rowOff>
    </xdr:from>
    <xdr:to>
      <xdr:col>25</xdr:col>
      <xdr:colOff>163286</xdr:colOff>
      <xdr:row>79</xdr:row>
      <xdr:rowOff>49110</xdr:rowOff>
    </xdr:to>
    <xdr:pic>
      <xdr:nvPicPr>
        <xdr:cNvPr id="15" name="Picture 14">
          <a:extLst>
            <a:ext uri="{FF2B5EF4-FFF2-40B4-BE49-F238E27FC236}">
              <a16:creationId xmlns:a16="http://schemas.microsoft.com/office/drawing/2014/main" id="{61D84E41-8A93-43DD-A109-055CCBA3D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3539" y="10311851"/>
          <a:ext cx="7405997" cy="542629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515471</xdr:colOff>
      <xdr:row>51</xdr:row>
      <xdr:rowOff>16009</xdr:rowOff>
    </xdr:from>
    <xdr:to>
      <xdr:col>39</xdr:col>
      <xdr:colOff>586886</xdr:colOff>
      <xdr:row>79</xdr:row>
      <xdr:rowOff>81643</xdr:rowOff>
    </xdr:to>
    <xdr:pic>
      <xdr:nvPicPr>
        <xdr:cNvPr id="21" name="Picture 20">
          <a:extLst>
            <a:ext uri="{FF2B5EF4-FFF2-40B4-BE49-F238E27FC236}">
              <a16:creationId xmlns:a16="http://schemas.microsoft.com/office/drawing/2014/main" id="{7C3E3352-D0ED-483D-9902-FE673DDE6F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44042" y="10371045"/>
          <a:ext cx="8031594" cy="539963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measuringworth.com/DJA/" TargetMode="External"/><Relationship Id="rId7" Type="http://schemas.openxmlformats.org/officeDocument/2006/relationships/printerSettings" Target="../printerSettings/printerSettings12.bin"/><Relationship Id="rId2" Type="http://schemas.openxmlformats.org/officeDocument/2006/relationships/hyperlink" Target="http://finance.yahoo.com/echarts?s=%5Edji+interactive" TargetMode="External"/><Relationship Id="rId1" Type="http://schemas.openxmlformats.org/officeDocument/2006/relationships/hyperlink" Target="https://research.stlouisfed.org/fred2/series/DJIA/downloaddata" TargetMode="External"/><Relationship Id="rId6" Type="http://schemas.openxmlformats.org/officeDocument/2006/relationships/hyperlink" Target="http://measuringworth.com/DJA/" TargetMode="External"/><Relationship Id="rId5" Type="http://schemas.openxmlformats.org/officeDocument/2006/relationships/hyperlink" Target="http://finance.yahoo.com/echarts?s=%5Edji+interactive" TargetMode="External"/><Relationship Id="rId4" Type="http://schemas.openxmlformats.org/officeDocument/2006/relationships/hyperlink" Target="https://research.stlouisfed.org/fred2/series/DJIA/downloaddata"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ogle.com/search?q=2020+presidential+election" TargetMode="External"/><Relationship Id="rId1" Type="http://schemas.openxmlformats.org/officeDocument/2006/relationships/hyperlink" Target="https://en.wikipedia.org/wiki/2020_United_States_presidential_election"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measuringworth.com/DJA/" TargetMode="External"/><Relationship Id="rId2" Type="http://schemas.openxmlformats.org/officeDocument/2006/relationships/hyperlink" Target="http://finance.yahoo.com/echarts?s=%5Edji+interactive" TargetMode="External"/><Relationship Id="rId1" Type="http://schemas.openxmlformats.org/officeDocument/2006/relationships/hyperlink" Target="https://research.stlouisfed.org/fred2/series/DJIA/downloaddata"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ww.bitcoinhivemind.com/papers/sumner-hanson-quartet.pdf" TargetMode="External"/><Relationship Id="rId1" Type="http://schemas.openxmlformats.org/officeDocument/2006/relationships/hyperlink" Target="http://www.bitcoinhivemind.com/papers/sumner-hanson-quartet.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G29"/>
  <sheetViews>
    <sheetView tabSelected="1" zoomScale="70" zoomScaleNormal="70" workbookViewId="0">
      <selection activeCell="G2" sqref="G2"/>
    </sheetView>
  </sheetViews>
  <sheetFormatPr defaultRowHeight="15" x14ac:dyDescent="0.25"/>
  <cols>
    <col min="1" max="1" width="11.5703125" customWidth="1"/>
    <col min="2" max="2" width="39" customWidth="1"/>
    <col min="3" max="3" width="3.5703125" style="110" customWidth="1"/>
    <col min="4" max="4" width="134.85546875" customWidth="1"/>
    <col min="5" max="13" width="11.5703125" customWidth="1"/>
  </cols>
  <sheetData>
    <row r="1" spans="2:7" ht="15.75" customHeight="1" thickBot="1" x14ac:dyDescent="0.3"/>
    <row r="2" spans="2:7" ht="31.5" customHeight="1" x14ac:dyDescent="0.25">
      <c r="B2" s="1555" t="s">
        <v>412</v>
      </c>
      <c r="C2" s="1556"/>
      <c r="D2" s="1557"/>
      <c r="G2" s="1326" t="s">
        <v>1292</v>
      </c>
    </row>
    <row r="3" spans="2:7" ht="31.5" customHeight="1" thickBot="1" x14ac:dyDescent="0.5">
      <c r="B3" s="1558"/>
      <c r="C3" s="1559"/>
      <c r="D3" s="1560"/>
      <c r="E3" s="894"/>
      <c r="F3" s="894"/>
      <c r="G3" s="1554" t="s">
        <v>814</v>
      </c>
    </row>
    <row r="4" spans="2:7" ht="31.5" customHeight="1" x14ac:dyDescent="0.45">
      <c r="B4" s="1534" t="s">
        <v>411</v>
      </c>
      <c r="C4" s="1535"/>
      <c r="D4" s="1536" t="s">
        <v>413</v>
      </c>
      <c r="E4" s="894"/>
      <c r="F4" s="894"/>
      <c r="G4" s="1554" t="s">
        <v>1275</v>
      </c>
    </row>
    <row r="5" spans="2:7" ht="39.75" customHeight="1" x14ac:dyDescent="0.35">
      <c r="B5" s="1538" t="s">
        <v>813</v>
      </c>
      <c r="C5" s="1537"/>
      <c r="D5" s="1539" t="s">
        <v>815</v>
      </c>
      <c r="G5" s="1554" t="s">
        <v>1290</v>
      </c>
    </row>
    <row r="6" spans="2:7" ht="39.75" customHeight="1" x14ac:dyDescent="0.25">
      <c r="B6" s="1538" t="s">
        <v>816</v>
      </c>
      <c r="C6" s="1537"/>
      <c r="D6" s="1539" t="s">
        <v>1269</v>
      </c>
    </row>
    <row r="7" spans="2:7" ht="39.75" customHeight="1" x14ac:dyDescent="0.25">
      <c r="B7" s="1538" t="s">
        <v>1258</v>
      </c>
      <c r="C7" s="1537"/>
      <c r="D7" s="1539" t="s">
        <v>1270</v>
      </c>
    </row>
    <row r="8" spans="2:7" ht="39.75" customHeight="1" x14ac:dyDescent="0.25">
      <c r="B8" s="1538" t="s">
        <v>861</v>
      </c>
      <c r="C8" s="1537"/>
      <c r="D8" s="1539" t="s">
        <v>1271</v>
      </c>
    </row>
    <row r="9" spans="2:7" ht="39.75" customHeight="1" x14ac:dyDescent="0.25">
      <c r="B9" s="1538" t="s">
        <v>1259</v>
      </c>
      <c r="C9" s="1537"/>
      <c r="D9" s="1539" t="s">
        <v>1272</v>
      </c>
    </row>
    <row r="10" spans="2:7" ht="39.75" customHeight="1" x14ac:dyDescent="0.25">
      <c r="B10" s="1538" t="s">
        <v>879</v>
      </c>
      <c r="C10" s="1537"/>
      <c r="D10" s="1539" t="s">
        <v>1273</v>
      </c>
    </row>
    <row r="11" spans="2:7" ht="39.75" customHeight="1" x14ac:dyDescent="0.25">
      <c r="B11" s="1538" t="s">
        <v>1260</v>
      </c>
      <c r="C11" s="1537"/>
      <c r="D11" s="1539" t="s">
        <v>1274</v>
      </c>
    </row>
    <row r="12" spans="2:7" ht="39.75" customHeight="1" x14ac:dyDescent="0.25">
      <c r="B12" s="1540" t="s">
        <v>1261</v>
      </c>
      <c r="C12" s="1537"/>
      <c r="D12" s="1539" t="s">
        <v>1276</v>
      </c>
    </row>
    <row r="13" spans="2:7" ht="39.75" customHeight="1" x14ac:dyDescent="0.25">
      <c r="B13" s="1541" t="s">
        <v>415</v>
      </c>
      <c r="C13" s="1537"/>
      <c r="D13" s="1539" t="s">
        <v>1278</v>
      </c>
    </row>
    <row r="14" spans="2:7" ht="39.75" customHeight="1" x14ac:dyDescent="0.25">
      <c r="B14" s="1541" t="s">
        <v>406</v>
      </c>
      <c r="C14" s="1537"/>
      <c r="D14" s="1539" t="s">
        <v>1279</v>
      </c>
    </row>
    <row r="15" spans="2:7" ht="39.75" customHeight="1" x14ac:dyDescent="0.25">
      <c r="B15" s="1542" t="s">
        <v>425</v>
      </c>
      <c r="C15" s="1537"/>
      <c r="D15" s="1539" t="s">
        <v>1277</v>
      </c>
    </row>
    <row r="16" spans="2:7" ht="39.75" customHeight="1" x14ac:dyDescent="0.25">
      <c r="B16" s="1542" t="s">
        <v>616</v>
      </c>
      <c r="C16" s="1537"/>
      <c r="D16" s="1539" t="s">
        <v>1280</v>
      </c>
    </row>
    <row r="17" spans="2:4" ht="39.75" customHeight="1" x14ac:dyDescent="0.25">
      <c r="B17" s="1543" t="s">
        <v>1263</v>
      </c>
      <c r="C17" s="1537"/>
      <c r="D17" s="1539" t="s">
        <v>1288</v>
      </c>
    </row>
    <row r="18" spans="2:4" ht="39.75" customHeight="1" x14ac:dyDescent="0.25">
      <c r="B18" s="1543" t="s">
        <v>407</v>
      </c>
      <c r="C18" s="1537"/>
      <c r="D18" s="1539" t="s">
        <v>1289</v>
      </c>
    </row>
    <row r="19" spans="2:4" ht="39.75" customHeight="1" x14ac:dyDescent="0.25">
      <c r="B19" s="1544" t="s">
        <v>1267</v>
      </c>
      <c r="C19" s="1537"/>
      <c r="D19" s="1539" t="s">
        <v>1286</v>
      </c>
    </row>
    <row r="20" spans="2:4" ht="39.75" customHeight="1" x14ac:dyDescent="0.25">
      <c r="B20" s="1544" t="s">
        <v>1268</v>
      </c>
      <c r="C20" s="1537"/>
      <c r="D20" s="1539" t="s">
        <v>1287</v>
      </c>
    </row>
    <row r="21" spans="2:4" ht="39.75" customHeight="1" x14ac:dyDescent="0.25">
      <c r="B21" s="1545" t="s">
        <v>1262</v>
      </c>
      <c r="C21" s="1537"/>
      <c r="D21" s="1539" t="s">
        <v>1281</v>
      </c>
    </row>
    <row r="22" spans="2:4" ht="39.75" customHeight="1" x14ac:dyDescent="0.25">
      <c r="B22" s="1546" t="s">
        <v>1264</v>
      </c>
      <c r="C22" s="1537"/>
      <c r="D22" s="1539" t="s">
        <v>1282</v>
      </c>
    </row>
    <row r="23" spans="2:4" ht="39.75" customHeight="1" x14ac:dyDescent="0.25">
      <c r="B23" s="1546" t="s">
        <v>1265</v>
      </c>
      <c r="C23" s="1537"/>
      <c r="D23" s="1539" t="s">
        <v>1283</v>
      </c>
    </row>
    <row r="24" spans="2:4" ht="39.75" customHeight="1" x14ac:dyDescent="0.25">
      <c r="B24" s="1547" t="s">
        <v>405</v>
      </c>
      <c r="C24" s="1537"/>
      <c r="D24" s="1539" t="s">
        <v>1284</v>
      </c>
    </row>
    <row r="25" spans="2:4" ht="39.75" customHeight="1" x14ac:dyDescent="0.25">
      <c r="B25" s="1548" t="s">
        <v>408</v>
      </c>
      <c r="C25" s="1537"/>
      <c r="D25" s="1539" t="s">
        <v>414</v>
      </c>
    </row>
    <row r="26" spans="2:4" ht="39.75" customHeight="1" x14ac:dyDescent="0.25">
      <c r="B26" s="1549" t="s">
        <v>409</v>
      </c>
      <c r="C26" s="1537"/>
      <c r="D26" s="1539" t="s">
        <v>416</v>
      </c>
    </row>
    <row r="27" spans="2:4" ht="39.75" customHeight="1" x14ac:dyDescent="0.25">
      <c r="B27" s="1550" t="s">
        <v>1266</v>
      </c>
      <c r="C27" s="1537"/>
      <c r="D27" s="1539" t="s">
        <v>1285</v>
      </c>
    </row>
    <row r="28" spans="2:4" ht="39.75" customHeight="1" thickBot="1" x14ac:dyDescent="0.3">
      <c r="B28" s="1551" t="s">
        <v>410</v>
      </c>
      <c r="C28" s="1552"/>
      <c r="D28" s="1553" t="s">
        <v>417</v>
      </c>
    </row>
    <row r="29" spans="2:4" ht="31.5" customHeight="1" x14ac:dyDescent="0.25"/>
  </sheetData>
  <mergeCells count="1">
    <mergeCell ref="B2:D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B0FDA-31EC-4D3E-83FF-929AD9F2D914}">
  <sheetPr>
    <tabColor rgb="FF00B050"/>
  </sheetPr>
  <dimension ref="A2:UE200"/>
  <sheetViews>
    <sheetView zoomScaleNormal="100" workbookViewId="0">
      <selection activeCell="V156" sqref="V156"/>
    </sheetView>
  </sheetViews>
  <sheetFormatPr defaultRowHeight="15" x14ac:dyDescent="0.25"/>
  <cols>
    <col min="2" max="2" width="11.28515625" customWidth="1"/>
    <col min="3" max="4" width="17.140625" customWidth="1"/>
    <col min="5" max="5" width="12.85546875" style="33" customWidth="1"/>
    <col min="6" max="21" width="11.42578125" style="33" customWidth="1"/>
    <col min="22" max="22" width="12" style="33" customWidth="1"/>
    <col min="23" max="23" width="8.5703125" style="33" customWidth="1"/>
    <col min="24" max="24" width="8.5703125" customWidth="1"/>
    <col min="25" max="25" width="9.28515625" customWidth="1"/>
    <col min="26" max="32" width="8.5703125" customWidth="1"/>
    <col min="33" max="33" width="10" customWidth="1"/>
    <col min="34" max="34" width="8.5703125" customWidth="1"/>
    <col min="35" max="35" width="13.7109375" customWidth="1"/>
    <col min="36" max="38" width="12.7109375" customWidth="1"/>
    <col min="39" max="47" width="8.5703125" customWidth="1"/>
    <col min="48" max="51" width="9.140625" customWidth="1"/>
    <col min="52" max="52" width="10.28515625" customWidth="1"/>
    <col min="53" max="148" width="9.140625" customWidth="1"/>
    <col min="149" max="211" width="9.140625" style="110" customWidth="1"/>
    <col min="212" max="292" width="9.140625" customWidth="1"/>
    <col min="293" max="293" width="25.7109375" customWidth="1"/>
    <col min="294" max="294" width="27.85546875" customWidth="1"/>
    <col min="295" max="295" width="9.140625" style="7" customWidth="1"/>
    <col min="296" max="296" width="10.5703125" customWidth="1"/>
    <col min="297" max="297" width="14.85546875" customWidth="1"/>
    <col min="298" max="298" width="9.140625" style="8"/>
    <col min="305" max="441" width="0" hidden="1" customWidth="1"/>
    <col min="442" max="442" width="6.42578125" customWidth="1"/>
    <col min="443" max="443" width="3" customWidth="1"/>
    <col min="444" max="445" width="9.42578125" customWidth="1"/>
    <col min="446" max="459" width="9.42578125" hidden="1" customWidth="1"/>
    <col min="460" max="468" width="12.28515625" hidden="1" customWidth="1"/>
    <col min="469" max="470" width="0" hidden="1" customWidth="1"/>
    <col min="471" max="509" width="10" hidden="1" customWidth="1"/>
    <col min="512" max="550" width="11" customWidth="1"/>
  </cols>
  <sheetData>
    <row r="2" spans="1:444" ht="31.5" x14ac:dyDescent="0.5">
      <c r="B2" s="186" t="s">
        <v>1147</v>
      </c>
      <c r="D2" s="139"/>
    </row>
    <row r="3" spans="1:444" ht="21" x14ac:dyDescent="0.35">
      <c r="B3" t="s">
        <v>1148</v>
      </c>
      <c r="D3" s="139"/>
    </row>
    <row r="4" spans="1:444" ht="21" x14ac:dyDescent="0.35">
      <c r="B4" t="s">
        <v>863</v>
      </c>
      <c r="D4" s="139"/>
    </row>
    <row r="5" spans="1:444" ht="21" x14ac:dyDescent="0.35">
      <c r="A5" s="26"/>
      <c r="B5" s="26"/>
      <c r="C5" s="26"/>
      <c r="D5" s="1377"/>
      <c r="E5" s="26"/>
      <c r="F5" s="26"/>
      <c r="G5" s="26"/>
      <c r="H5" s="26"/>
      <c r="I5" s="26"/>
      <c r="J5" s="26"/>
      <c r="K5" s="26"/>
      <c r="L5" s="26"/>
      <c r="M5" s="26"/>
      <c r="N5" s="26"/>
    </row>
    <row r="6" spans="1:444" x14ac:dyDescent="0.25">
      <c r="A6" s="26"/>
      <c r="B6" s="26"/>
      <c r="C6" s="141"/>
      <c r="D6" s="647"/>
      <c r="E6" s="647"/>
      <c r="F6" s="647"/>
      <c r="G6" s="647"/>
      <c r="H6" s="647"/>
      <c r="I6" s="647"/>
      <c r="J6" s="647"/>
      <c r="K6" s="647"/>
      <c r="L6" s="647"/>
      <c r="M6" s="647"/>
      <c r="N6" s="647"/>
      <c r="O6" s="140"/>
      <c r="P6" s="140"/>
    </row>
    <row r="7" spans="1:444" x14ac:dyDescent="0.25">
      <c r="A7" s="26"/>
      <c r="B7" s="1379" t="s">
        <v>159</v>
      </c>
      <c r="C7" s="1380" t="s">
        <v>917</v>
      </c>
      <c r="D7" s="1380"/>
      <c r="E7" s="1380"/>
      <c r="F7" s="1380"/>
      <c r="G7" s="1380"/>
      <c r="H7" s="1380"/>
      <c r="I7" s="1381"/>
      <c r="L7" s="647"/>
      <c r="M7" s="647"/>
      <c r="N7" s="647"/>
      <c r="O7" s="140"/>
      <c r="P7" s="140"/>
      <c r="AF7" s="8"/>
      <c r="AG7" s="8"/>
      <c r="AH7" s="8"/>
      <c r="AI7" s="8"/>
      <c r="AJ7" s="8"/>
      <c r="AK7" s="8"/>
      <c r="AL7" s="8"/>
      <c r="AM7" s="8"/>
      <c r="AN7" s="8"/>
      <c r="AO7" s="8"/>
      <c r="AP7" s="8"/>
      <c r="AQ7" s="8"/>
      <c r="AR7" s="8"/>
      <c r="AS7" s="8"/>
      <c r="AT7" s="8"/>
      <c r="AU7" s="8"/>
      <c r="AV7" s="8"/>
      <c r="AW7" s="8"/>
      <c r="AX7" s="8"/>
    </row>
    <row r="8" spans="1:444" x14ac:dyDescent="0.25">
      <c r="A8" s="26"/>
      <c r="B8" s="1382"/>
      <c r="D8" s="647" t="s">
        <v>918</v>
      </c>
      <c r="E8" s="647"/>
      <c r="F8" s="647"/>
      <c r="G8" s="647"/>
      <c r="H8" s="647"/>
      <c r="I8" s="1383"/>
      <c r="L8" s="647"/>
      <c r="M8" s="647"/>
      <c r="N8" s="647"/>
      <c r="O8" s="140"/>
      <c r="P8" s="140"/>
      <c r="AF8" s="8"/>
      <c r="AG8" s="8"/>
      <c r="AH8" s="8"/>
      <c r="AI8" s="8"/>
      <c r="AJ8" s="8"/>
      <c r="AK8" s="8"/>
      <c r="AL8" s="8"/>
      <c r="AM8" s="8"/>
      <c r="AN8" s="8"/>
      <c r="AO8" s="8"/>
      <c r="AP8" s="8"/>
      <c r="AQ8" s="8"/>
      <c r="AR8" s="8"/>
      <c r="AS8" s="8"/>
      <c r="AT8" s="8"/>
      <c r="AU8" s="8"/>
      <c r="AV8" s="8"/>
      <c r="AW8" s="8"/>
      <c r="AX8" s="8"/>
    </row>
    <row r="9" spans="1:444" s="33" customFormat="1" ht="28.5" customHeight="1" x14ac:dyDescent="0.25">
      <c r="A9" s="26"/>
      <c r="B9" s="1382"/>
      <c r="C9" s="1388" t="s">
        <v>920</v>
      </c>
      <c r="D9" s="1388" t="s">
        <v>921</v>
      </c>
      <c r="E9" s="1388" t="s">
        <v>919</v>
      </c>
      <c r="G9" s="647"/>
      <c r="H9" s="647" t="s">
        <v>908</v>
      </c>
      <c r="I9" s="1383"/>
      <c r="L9" s="647"/>
      <c r="M9" s="647"/>
      <c r="N9" s="647"/>
      <c r="O9" s="140"/>
      <c r="P9" s="140"/>
      <c r="X9"/>
      <c r="Y9"/>
      <c r="Z9"/>
      <c r="AA9"/>
      <c r="AB9"/>
      <c r="AC9"/>
      <c r="AE9" s="1375"/>
      <c r="AF9" s="8"/>
      <c r="AG9" s="8"/>
      <c r="AH9" s="8"/>
      <c r="AI9" s="8"/>
      <c r="AJ9" s="8"/>
      <c r="AK9" s="8"/>
      <c r="AL9" s="8"/>
      <c r="AM9" s="8"/>
      <c r="AN9" s="8"/>
      <c r="AO9" s="8"/>
      <c r="AP9" s="8"/>
      <c r="AQ9" s="8"/>
      <c r="AR9" s="8"/>
      <c r="AS9" s="8"/>
      <c r="AT9" s="8"/>
      <c r="AU9" s="8"/>
      <c r="AV9" s="8"/>
      <c r="AW9" s="8"/>
      <c r="AX9" s="8"/>
      <c r="ES9" s="1375"/>
      <c r="ET9" s="1375"/>
      <c r="EU9" s="1375"/>
      <c r="EV9" s="1375"/>
      <c r="EW9" s="1375"/>
      <c r="EX9" s="1375"/>
      <c r="EY9" s="1375"/>
      <c r="EZ9" s="1375"/>
      <c r="FA9" s="1375"/>
      <c r="FB9" s="1375"/>
      <c r="FC9" s="1375"/>
      <c r="FD9" s="1375"/>
      <c r="FE9" s="1375"/>
      <c r="FF9" s="1375"/>
      <c r="FG9" s="1375"/>
      <c r="FH9" s="1375"/>
      <c r="FI9" s="1375"/>
      <c r="FJ9" s="1375"/>
      <c r="FK9" s="1375"/>
      <c r="FL9" s="1375"/>
      <c r="FM9" s="1375"/>
      <c r="FN9" s="1375"/>
      <c r="FO9" s="1375"/>
      <c r="FP9" s="1375"/>
      <c r="FQ9" s="1375"/>
      <c r="FR9" s="1375"/>
      <c r="FS9" s="1375"/>
      <c r="FT9" s="1375"/>
      <c r="FU9" s="1375"/>
      <c r="FV9" s="1375"/>
      <c r="FW9" s="1375"/>
      <c r="FX9" s="1375"/>
      <c r="FY9" s="1375"/>
      <c r="FZ9" s="1375"/>
      <c r="GA9" s="1375"/>
      <c r="GB9" s="1375"/>
      <c r="GC9" s="1375"/>
      <c r="GD9" s="1375"/>
      <c r="GE9" s="1375"/>
      <c r="GF9" s="1375"/>
      <c r="GG9" s="1375"/>
      <c r="GH9" s="1375"/>
      <c r="GI9" s="1375"/>
      <c r="GJ9" s="1375"/>
      <c r="GK9" s="1375"/>
      <c r="GL9" s="1375"/>
      <c r="GM9" s="1375"/>
      <c r="GN9" s="1375"/>
      <c r="GO9" s="1375"/>
      <c r="GP9" s="1375"/>
      <c r="GQ9" s="1375"/>
      <c r="GR9" s="1375"/>
      <c r="GS9" s="1375"/>
      <c r="GT9" s="1375"/>
      <c r="GU9" s="1375"/>
      <c r="GV9" s="1375"/>
      <c r="GW9" s="1375"/>
      <c r="GX9" s="1375"/>
      <c r="GY9" s="1375"/>
      <c r="GZ9" s="1375"/>
      <c r="HA9" s="1375"/>
      <c r="HB9" s="1375"/>
      <c r="HC9" s="1375"/>
      <c r="KI9" s="17"/>
      <c r="KL9" s="140"/>
    </row>
    <row r="10" spans="1:444" s="33" customFormat="1" x14ac:dyDescent="0.25">
      <c r="A10" s="26"/>
      <c r="B10" s="1382"/>
      <c r="C10" s="1389" t="s">
        <v>895</v>
      </c>
      <c r="D10" s="1389" t="s">
        <v>907</v>
      </c>
      <c r="E10" s="1389" t="s">
        <v>896</v>
      </c>
      <c r="G10" s="647"/>
      <c r="H10" s="647"/>
      <c r="I10" s="1383"/>
      <c r="L10" s="647"/>
      <c r="M10" s="647"/>
      <c r="N10" s="647"/>
      <c r="O10" s="140"/>
      <c r="P10" s="140"/>
      <c r="X10"/>
      <c r="Y10"/>
      <c r="Z10"/>
      <c r="AA10"/>
      <c r="AB10"/>
      <c r="AC10"/>
      <c r="AD10" s="7"/>
      <c r="AE10" s="193"/>
      <c r="AF10" s="193"/>
      <c r="AG10" s="193"/>
      <c r="AH10" s="193"/>
      <c r="AI10" s="193"/>
      <c r="AJ10" s="193"/>
      <c r="AK10" s="193"/>
      <c r="AL10" s="193"/>
      <c r="AM10" s="8"/>
      <c r="AN10" s="193"/>
      <c r="AO10" s="193"/>
      <c r="AP10" s="193"/>
      <c r="AQ10" s="193"/>
      <c r="AR10" s="193"/>
      <c r="AS10" s="193"/>
      <c r="AT10" s="8"/>
      <c r="AU10" s="8"/>
      <c r="AV10" s="8"/>
      <c r="AW10" s="8"/>
      <c r="AX10" s="8"/>
      <c r="ES10" s="1375"/>
      <c r="ET10" s="1375"/>
      <c r="EU10" s="1375"/>
      <c r="EV10" s="1375"/>
      <c r="EW10" s="1375"/>
      <c r="EX10" s="1375"/>
      <c r="EY10" s="1375"/>
      <c r="EZ10" s="1375"/>
      <c r="FA10" s="1375"/>
      <c r="FB10" s="1375"/>
      <c r="FC10" s="1375"/>
      <c r="FD10" s="1375"/>
      <c r="FE10" s="1375"/>
      <c r="FF10" s="1375"/>
      <c r="FG10" s="1375"/>
      <c r="FH10" s="1375"/>
      <c r="FI10" s="1375"/>
      <c r="FJ10" s="1375"/>
      <c r="FK10" s="1375"/>
      <c r="FL10" s="1375"/>
      <c r="FM10" s="1375"/>
      <c r="FN10" s="1375"/>
      <c r="FO10" s="1375"/>
      <c r="FP10" s="1375"/>
      <c r="FQ10" s="1375"/>
      <c r="FR10" s="1375"/>
      <c r="FS10" s="1375"/>
      <c r="FT10" s="1375"/>
      <c r="FU10" s="1375"/>
      <c r="FV10" s="1375"/>
      <c r="FW10" s="1375"/>
      <c r="FX10" s="1375"/>
      <c r="FY10" s="1375"/>
      <c r="FZ10" s="1375"/>
      <c r="GA10" s="1375"/>
      <c r="GB10" s="1375"/>
      <c r="GC10" s="1375"/>
      <c r="GD10" s="1375"/>
      <c r="GE10" s="1375"/>
      <c r="GF10" s="1375"/>
      <c r="GG10" s="1375"/>
      <c r="GH10" s="1375"/>
      <c r="GI10" s="1375"/>
      <c r="GJ10" s="1375"/>
      <c r="GK10" s="1375"/>
      <c r="GL10" s="1375"/>
      <c r="GM10" s="1375"/>
      <c r="GN10" s="1375"/>
      <c r="GO10" s="1375"/>
      <c r="GP10" s="1375"/>
      <c r="GQ10" s="1375"/>
      <c r="GR10" s="1375"/>
      <c r="GS10" s="1375"/>
      <c r="GT10" s="1375"/>
      <c r="GU10" s="1375"/>
      <c r="GV10" s="1375"/>
      <c r="GW10" s="1375"/>
      <c r="GX10" s="1375"/>
      <c r="GY10" s="1375"/>
      <c r="GZ10" s="1375"/>
      <c r="HA10" s="1375"/>
      <c r="HB10" s="1375"/>
      <c r="HC10" s="1375"/>
      <c r="JN10" s="140"/>
      <c r="JO10" s="140"/>
      <c r="JP10" s="140"/>
      <c r="JQ10" s="140"/>
      <c r="JR10" s="140"/>
      <c r="JS10" s="140"/>
      <c r="JT10" s="140"/>
      <c r="JU10" s="140"/>
      <c r="JV10" s="140"/>
      <c r="KI10" s="17"/>
      <c r="KL10" s="140"/>
    </row>
    <row r="11" spans="1:444" s="33" customFormat="1" x14ac:dyDescent="0.25">
      <c r="A11" s="26"/>
      <c r="B11" s="1384"/>
      <c r="C11" s="257"/>
      <c r="D11" s="257"/>
      <c r="E11" s="257"/>
      <c r="F11" s="257"/>
      <c r="G11" s="1385"/>
      <c r="H11" s="1385"/>
      <c r="I11" s="1386"/>
      <c r="L11" s="647"/>
      <c r="M11" s="647"/>
      <c r="N11" s="647"/>
      <c r="O11" s="140"/>
      <c r="P11" s="140"/>
      <c r="X11"/>
      <c r="Y11"/>
      <c r="Z11"/>
      <c r="AA11"/>
      <c r="AB11"/>
      <c r="AC11"/>
      <c r="AD11" s="7"/>
      <c r="AE11" s="140"/>
      <c r="AF11" s="1075"/>
      <c r="AG11" s="1075"/>
      <c r="AH11" s="1075"/>
      <c r="AI11" s="1075"/>
      <c r="AJ11" s="1306"/>
      <c r="AK11" s="1075"/>
      <c r="AL11" s="1075"/>
      <c r="AM11" s="1075"/>
      <c r="AN11" s="1075"/>
      <c r="AO11" s="1075"/>
      <c r="AP11" s="1075"/>
      <c r="AQ11" s="1075"/>
      <c r="AR11" s="140"/>
      <c r="AS11" s="140"/>
      <c r="AT11" s="8"/>
      <c r="AU11" s="8"/>
      <c r="AV11" s="8"/>
      <c r="AW11" s="8"/>
      <c r="AX11" s="8"/>
      <c r="ES11" s="1375"/>
      <c r="ET11" s="1375"/>
      <c r="EU11" s="1375"/>
      <c r="EV11" s="1375"/>
      <c r="EW11" s="1375"/>
      <c r="EX11" s="1375"/>
      <c r="EY11" s="1375"/>
      <c r="EZ11" s="1375"/>
      <c r="FA11" s="1375"/>
      <c r="FB11" s="1375"/>
      <c r="FC11" s="1375"/>
      <c r="FD11" s="1375"/>
      <c r="FE11" s="1375"/>
      <c r="FF11" s="1375"/>
      <c r="FG11" s="1375"/>
      <c r="FH11" s="1375"/>
      <c r="FI11" s="1375"/>
      <c r="FJ11" s="1375"/>
      <c r="FK11" s="1375"/>
      <c r="FL11" s="1375"/>
      <c r="FM11" s="1375"/>
      <c r="FN11" s="1375"/>
      <c r="FO11" s="1375"/>
      <c r="FP11" s="1375"/>
      <c r="FQ11" s="1375"/>
      <c r="FR11" s="1375"/>
      <c r="FS11" s="1375"/>
      <c r="FT11" s="1375"/>
      <c r="FU11" s="1375"/>
      <c r="FV11" s="1375"/>
      <c r="FW11" s="1375"/>
      <c r="FX11" s="1375"/>
      <c r="FY11" s="1375"/>
      <c r="FZ11" s="1375"/>
      <c r="GA11" s="1375"/>
      <c r="GB11" s="1375"/>
      <c r="GC11" s="1375"/>
      <c r="GD11" s="1375"/>
      <c r="GE11" s="1375"/>
      <c r="GF11" s="1375"/>
      <c r="GG11" s="1375"/>
      <c r="GH11" s="1375"/>
      <c r="GI11" s="1375"/>
      <c r="GJ11" s="1375"/>
      <c r="GK11" s="1375"/>
      <c r="GL11" s="1375"/>
      <c r="GM11" s="1375"/>
      <c r="GN11" s="1375"/>
      <c r="GO11" s="1375"/>
      <c r="GP11" s="1375"/>
      <c r="GQ11" s="1375"/>
      <c r="GR11" s="1375"/>
      <c r="GS11" s="1375"/>
      <c r="GT11" s="1375"/>
      <c r="GU11" s="1375"/>
      <c r="GV11" s="1375"/>
      <c r="GW11" s="1375"/>
      <c r="GX11" s="1375"/>
      <c r="GY11" s="1375"/>
      <c r="GZ11" s="1375"/>
      <c r="HA11" s="1375"/>
      <c r="HB11" s="1375"/>
      <c r="HC11" s="1375"/>
      <c r="JN11" s="140"/>
      <c r="JO11" s="140"/>
      <c r="JP11" s="140"/>
      <c r="JQ11" s="140"/>
      <c r="JR11" s="140"/>
      <c r="JS11" s="140"/>
      <c r="JT11" s="140"/>
      <c r="JU11" s="140"/>
      <c r="JV11" s="140"/>
      <c r="KI11" s="17"/>
      <c r="KL11" s="140"/>
    </row>
    <row r="12" spans="1:444" s="33" customFormat="1" x14ac:dyDescent="0.25">
      <c r="A12" s="26"/>
      <c r="B12" s="647"/>
      <c r="C12" s="1378"/>
      <c r="D12" s="647"/>
      <c r="E12" s="647"/>
      <c r="F12" s="647"/>
      <c r="G12" s="647"/>
      <c r="H12" s="647"/>
      <c r="I12" s="647"/>
      <c r="L12" s="647"/>
      <c r="M12" s="647"/>
      <c r="N12" s="647"/>
      <c r="O12" s="140"/>
      <c r="P12" s="140"/>
      <c r="X12"/>
      <c r="Y12"/>
      <c r="Z12"/>
      <c r="AA12"/>
      <c r="AB12"/>
      <c r="AC12"/>
      <c r="AD12" s="7"/>
      <c r="AE12" s="194"/>
      <c r="AF12" s="378"/>
      <c r="AG12" s="378"/>
      <c r="AH12" s="378"/>
      <c r="AI12" s="378"/>
      <c r="AJ12" s="799"/>
      <c r="AK12" s="799"/>
      <c r="AL12" s="799"/>
      <c r="AM12" s="799"/>
      <c r="AN12" s="799"/>
      <c r="AO12" s="799"/>
      <c r="AP12" s="799"/>
      <c r="AQ12" s="799"/>
      <c r="AR12" s="140"/>
      <c r="AS12" s="194"/>
      <c r="AT12" s="8"/>
      <c r="AU12" s="8"/>
      <c r="AV12" s="8"/>
      <c r="AW12" s="8"/>
      <c r="AX12" s="8"/>
      <c r="ES12" s="1375"/>
      <c r="ET12" s="1375"/>
      <c r="EU12" s="1375"/>
      <c r="EV12" s="1375"/>
      <c r="EW12" s="1375"/>
      <c r="EX12" s="1375"/>
      <c r="EY12" s="1375"/>
      <c r="EZ12" s="1375"/>
      <c r="FA12" s="1375"/>
      <c r="FB12" s="1375"/>
      <c r="FC12" s="1375"/>
      <c r="FD12" s="1375"/>
      <c r="FE12" s="1375"/>
      <c r="FF12" s="1375"/>
      <c r="FG12" s="1375"/>
      <c r="FH12" s="1375"/>
      <c r="FI12" s="1375"/>
      <c r="FJ12" s="1375"/>
      <c r="FK12" s="1375"/>
      <c r="FL12" s="1375"/>
      <c r="FM12" s="1375"/>
      <c r="FN12" s="1375"/>
      <c r="FO12" s="1375"/>
      <c r="FP12" s="1375"/>
      <c r="FQ12" s="1375"/>
      <c r="FR12" s="1375"/>
      <c r="FS12" s="1375"/>
      <c r="FT12" s="1375"/>
      <c r="FU12" s="1375"/>
      <c r="FV12" s="1375"/>
      <c r="FW12" s="1375"/>
      <c r="FX12" s="1375"/>
      <c r="FY12" s="1375"/>
      <c r="FZ12" s="1375"/>
      <c r="GA12" s="1375"/>
      <c r="GB12" s="1375"/>
      <c r="GC12" s="1375"/>
      <c r="GD12" s="1375"/>
      <c r="GE12" s="1375"/>
      <c r="GF12" s="1375"/>
      <c r="GG12" s="1375"/>
      <c r="GH12" s="1375"/>
      <c r="GI12" s="1375"/>
      <c r="GJ12" s="1375"/>
      <c r="GK12" s="1375"/>
      <c r="GL12" s="1375"/>
      <c r="GM12" s="1375"/>
      <c r="GN12" s="1375"/>
      <c r="GO12" s="1375"/>
      <c r="GP12" s="1375"/>
      <c r="GQ12" s="1375"/>
      <c r="GR12" s="1375"/>
      <c r="GS12" s="1375"/>
      <c r="GT12" s="1375"/>
      <c r="GU12" s="1375"/>
      <c r="GV12" s="1375"/>
      <c r="GW12" s="1375"/>
      <c r="GX12" s="1375"/>
      <c r="GY12" s="1375"/>
      <c r="GZ12" s="1375"/>
      <c r="HA12" s="1375"/>
      <c r="HB12" s="1375"/>
      <c r="HC12" s="1375"/>
      <c r="JN12" s="140"/>
      <c r="JO12" s="140"/>
      <c r="JP12" s="140"/>
      <c r="JQ12" s="140"/>
      <c r="JR12" s="140"/>
      <c r="JS12" s="140"/>
      <c r="JT12" s="140"/>
      <c r="JU12" s="140"/>
      <c r="JV12" s="140"/>
      <c r="KI12" s="17"/>
      <c r="KL12" s="140"/>
      <c r="QB12" s="33" t="s">
        <v>1072</v>
      </c>
    </row>
    <row r="13" spans="1:444" s="33" customFormat="1" x14ac:dyDescent="0.25">
      <c r="A13" s="26"/>
      <c r="B13" s="1379" t="s">
        <v>163</v>
      </c>
      <c r="C13" s="1380" t="s">
        <v>922</v>
      </c>
      <c r="D13" s="1380"/>
      <c r="E13" s="1380"/>
      <c r="F13" s="1380"/>
      <c r="G13" s="1380"/>
      <c r="H13" s="1380"/>
      <c r="I13" s="1381"/>
      <c r="J13" s="647"/>
      <c r="K13" s="647"/>
      <c r="L13" s="647"/>
      <c r="M13" s="647"/>
      <c r="X13"/>
      <c r="Y13"/>
      <c r="Z13"/>
      <c r="AB13"/>
      <c r="AC13"/>
      <c r="AD13" s="7"/>
      <c r="AE13" s="194"/>
      <c r="AF13" s="378"/>
      <c r="AG13" s="378"/>
      <c r="AH13" s="378"/>
      <c r="AI13" s="378"/>
      <c r="AJ13" s="799"/>
      <c r="AK13" s="799"/>
      <c r="AL13" s="799"/>
      <c r="AM13" s="799"/>
      <c r="AN13" s="799"/>
      <c r="AO13" s="799"/>
      <c r="AP13" s="799"/>
      <c r="AQ13" s="799"/>
      <c r="AR13" s="140"/>
      <c r="AS13" s="194"/>
      <c r="AT13" s="8"/>
      <c r="AU13" s="8"/>
      <c r="AV13" s="8"/>
      <c r="AW13" s="8"/>
      <c r="AX13" s="8"/>
      <c r="ES13" s="1375"/>
      <c r="ET13" s="1375"/>
      <c r="EU13" s="1375"/>
      <c r="EV13" s="1375"/>
      <c r="EW13" s="1375"/>
      <c r="EX13" s="1375"/>
      <c r="EY13" s="1375"/>
      <c r="EZ13" s="1375"/>
      <c r="FA13" s="1375"/>
      <c r="FB13" s="1375"/>
      <c r="FC13" s="1375"/>
      <c r="FD13" s="1375"/>
      <c r="FE13" s="1375"/>
      <c r="FF13" s="1375"/>
      <c r="FG13" s="1375"/>
      <c r="FH13" s="1375"/>
      <c r="FI13" s="1375"/>
      <c r="FJ13" s="1375"/>
      <c r="FK13" s="1375"/>
      <c r="FL13" s="1375"/>
      <c r="FM13" s="1375"/>
      <c r="FN13" s="1375"/>
      <c r="FO13" s="1375"/>
      <c r="FP13" s="1375"/>
      <c r="FQ13" s="1375"/>
      <c r="FR13" s="1375"/>
      <c r="FS13" s="1375"/>
      <c r="FT13" s="1375"/>
      <c r="FU13" s="1375"/>
      <c r="FV13" s="1375"/>
      <c r="FW13" s="1375"/>
      <c r="FX13" s="1375"/>
      <c r="FY13" s="1375"/>
      <c r="FZ13" s="1375"/>
      <c r="GA13" s="1375"/>
      <c r="GB13" s="1375"/>
      <c r="GC13" s="1375"/>
      <c r="GD13" s="1375"/>
      <c r="GE13" s="1375"/>
      <c r="GF13" s="1375"/>
      <c r="GG13" s="1375"/>
      <c r="GH13" s="1375"/>
      <c r="GI13" s="1375"/>
      <c r="GJ13" s="1375"/>
      <c r="GK13" s="1375"/>
      <c r="GL13" s="1375"/>
      <c r="GM13" s="1375"/>
      <c r="GN13" s="1375"/>
      <c r="GO13" s="1375"/>
      <c r="GP13" s="1375"/>
      <c r="GQ13" s="1375"/>
      <c r="GR13" s="1375"/>
      <c r="GS13" s="1375"/>
      <c r="GT13" s="1375"/>
      <c r="GU13" s="1375"/>
      <c r="GV13" s="1375"/>
      <c r="GW13" s="1375"/>
      <c r="GX13" s="1375"/>
      <c r="GY13" s="1375"/>
      <c r="GZ13" s="1375"/>
      <c r="HA13" s="1375"/>
      <c r="HB13" s="1375"/>
      <c r="HC13" s="1375"/>
      <c r="JN13" s="140"/>
      <c r="JO13" s="140"/>
      <c r="JP13" s="193"/>
      <c r="JQ13" s="193"/>
      <c r="JR13" s="140"/>
      <c r="JS13" s="140"/>
      <c r="JT13" s="140"/>
      <c r="JU13" s="140"/>
      <c r="JV13" s="140"/>
      <c r="KI13" s="17"/>
      <c r="KL13" s="140"/>
      <c r="QB13" s="33" t="s">
        <v>1072</v>
      </c>
    </row>
    <row r="14" spans="1:444" s="33" customFormat="1" x14ac:dyDescent="0.25">
      <c r="A14" s="26"/>
      <c r="B14" s="1382"/>
      <c r="C14" s="647"/>
      <c r="D14" s="647"/>
      <c r="E14" s="647"/>
      <c r="F14" s="647"/>
      <c r="G14" s="647"/>
      <c r="H14" s="647"/>
      <c r="I14" s="1383"/>
      <c r="J14" s="647"/>
      <c r="K14" s="647"/>
      <c r="L14" s="647"/>
      <c r="M14" s="647"/>
      <c r="X14"/>
      <c r="Y14"/>
      <c r="Z14"/>
      <c r="AB14"/>
      <c r="AC14"/>
      <c r="AD14" s="7"/>
      <c r="AE14" s="194"/>
      <c r="AF14" s="378"/>
      <c r="AG14" s="378"/>
      <c r="AH14" s="378"/>
      <c r="AI14" s="378"/>
      <c r="AJ14" s="799"/>
      <c r="AK14" s="799"/>
      <c r="AL14" s="799"/>
      <c r="AM14" s="799"/>
      <c r="AN14" s="799"/>
      <c r="AO14" s="799"/>
      <c r="AP14" s="799"/>
      <c r="AQ14" s="799"/>
      <c r="AR14" s="140"/>
      <c r="AS14" s="194"/>
      <c r="AT14" s="8"/>
      <c r="AU14" s="8"/>
      <c r="AV14" s="8"/>
      <c r="AW14" s="8"/>
      <c r="AX14" s="8"/>
      <c r="ES14" s="1375"/>
      <c r="ET14" s="1375"/>
      <c r="EU14" s="1375"/>
      <c r="EV14" s="1375"/>
      <c r="EW14" s="1375"/>
      <c r="EX14" s="1375"/>
      <c r="EY14" s="1375"/>
      <c r="EZ14" s="1375"/>
      <c r="FA14" s="1375"/>
      <c r="FB14" s="1375"/>
      <c r="FC14" s="1375"/>
      <c r="FD14" s="1375"/>
      <c r="FE14" s="1375"/>
      <c r="FF14" s="1375"/>
      <c r="FG14" s="1375"/>
      <c r="FH14" s="1375"/>
      <c r="FI14" s="1375"/>
      <c r="FJ14" s="1375"/>
      <c r="FK14" s="1375"/>
      <c r="FL14" s="1375"/>
      <c r="FM14" s="1375"/>
      <c r="FN14" s="1375"/>
      <c r="FO14" s="1375"/>
      <c r="FP14" s="1375"/>
      <c r="FQ14" s="1375"/>
      <c r="FR14" s="1375"/>
      <c r="FS14" s="1375"/>
      <c r="FT14" s="1375"/>
      <c r="FU14" s="1375"/>
      <c r="FV14" s="1375"/>
      <c r="FW14" s="1375"/>
      <c r="FX14" s="1375"/>
      <c r="FY14" s="1375"/>
      <c r="FZ14" s="1375"/>
      <c r="GA14" s="1375"/>
      <c r="GB14" s="1375"/>
      <c r="GC14" s="1375"/>
      <c r="GD14" s="1375"/>
      <c r="GE14" s="1375"/>
      <c r="GF14" s="1375"/>
      <c r="GG14" s="1375"/>
      <c r="GH14" s="1375"/>
      <c r="GI14" s="1375"/>
      <c r="GJ14" s="1375"/>
      <c r="GK14" s="1375"/>
      <c r="GL14" s="1375"/>
      <c r="GM14" s="1375"/>
      <c r="GN14" s="1375"/>
      <c r="GO14" s="1375"/>
      <c r="GP14" s="1375"/>
      <c r="GQ14" s="1375"/>
      <c r="GR14" s="1375"/>
      <c r="GS14" s="1375"/>
      <c r="GT14" s="1375"/>
      <c r="GU14" s="1375"/>
      <c r="GV14" s="1375"/>
      <c r="GW14" s="1375"/>
      <c r="GX14" s="1375"/>
      <c r="GY14" s="1375"/>
      <c r="GZ14" s="1375"/>
      <c r="HA14" s="1375"/>
      <c r="HB14" s="1375"/>
      <c r="HC14" s="1375"/>
      <c r="JN14" s="140"/>
      <c r="JO14" s="140"/>
      <c r="JP14" s="140"/>
      <c r="JQ14" s="140"/>
      <c r="JR14" s="140"/>
      <c r="JS14" s="140"/>
      <c r="JT14" s="140"/>
      <c r="JU14" s="140"/>
      <c r="JV14" s="140"/>
      <c r="KI14" s="17"/>
      <c r="KL14" s="140"/>
      <c r="QB14" s="33" t="s">
        <v>1072</v>
      </c>
    </row>
    <row r="15" spans="1:444" s="33" customFormat="1" x14ac:dyDescent="0.25">
      <c r="A15" s="26"/>
      <c r="B15" s="1382"/>
      <c r="C15" s="1075" t="s">
        <v>924</v>
      </c>
      <c r="D15" s="1075" t="s">
        <v>925</v>
      </c>
      <c r="E15" s="1075" t="s">
        <v>923</v>
      </c>
      <c r="F15" s="647"/>
      <c r="G15" s="647"/>
      <c r="H15" s="647"/>
      <c r="I15" s="1383"/>
      <c r="J15" s="647"/>
      <c r="K15" s="647"/>
      <c r="L15" s="647"/>
      <c r="M15" s="647"/>
      <c r="X15"/>
      <c r="Y15"/>
      <c r="Z15"/>
      <c r="AB15"/>
      <c r="AC15"/>
      <c r="AD15" s="7"/>
      <c r="AE15" s="194"/>
      <c r="AF15" s="378"/>
      <c r="AG15" s="378"/>
      <c r="AH15" s="378"/>
      <c r="AI15" s="378"/>
      <c r="AJ15" s="799"/>
      <c r="AK15" s="799"/>
      <c r="AL15" s="799"/>
      <c r="AM15" s="799"/>
      <c r="AN15" s="799"/>
      <c r="AO15" s="799"/>
      <c r="AP15" s="799"/>
      <c r="AQ15" s="799"/>
      <c r="AR15" s="140"/>
      <c r="AS15" s="194"/>
      <c r="AT15" s="8"/>
      <c r="AU15" s="8"/>
      <c r="AV15" s="8"/>
      <c r="AW15" s="8"/>
      <c r="AX15" s="8"/>
      <c r="ES15" s="1375"/>
      <c r="ET15" s="1375"/>
      <c r="EU15" s="1375"/>
      <c r="EV15" s="1375"/>
      <c r="EW15" s="1375"/>
      <c r="EX15" s="1375"/>
      <c r="EY15" s="1375"/>
      <c r="EZ15" s="1375"/>
      <c r="FA15" s="1375"/>
      <c r="FB15" s="1375"/>
      <c r="FC15" s="1375"/>
      <c r="FD15" s="1375"/>
      <c r="FE15" s="1375"/>
      <c r="FF15" s="1375"/>
      <c r="FG15" s="1375"/>
      <c r="FH15" s="1375"/>
      <c r="FI15" s="1375"/>
      <c r="FJ15" s="1375"/>
      <c r="FK15" s="1375"/>
      <c r="FL15" s="1375"/>
      <c r="FM15" s="1375"/>
      <c r="FN15" s="1375"/>
      <c r="FO15" s="1375"/>
      <c r="FP15" s="1375"/>
      <c r="FQ15" s="1375"/>
      <c r="FR15" s="1375"/>
      <c r="FS15" s="1375"/>
      <c r="FT15" s="1375"/>
      <c r="FU15" s="1375"/>
      <c r="FV15" s="1375"/>
      <c r="FW15" s="1375"/>
      <c r="FX15" s="1375"/>
      <c r="FY15" s="1375"/>
      <c r="FZ15" s="1375"/>
      <c r="GA15" s="1375"/>
      <c r="GB15" s="1375"/>
      <c r="GC15" s="1375"/>
      <c r="GD15" s="1375"/>
      <c r="GE15" s="1375"/>
      <c r="GF15" s="1375"/>
      <c r="GG15" s="1375"/>
      <c r="GH15" s="1375"/>
      <c r="GI15" s="1375"/>
      <c r="GJ15" s="1375"/>
      <c r="GK15" s="1375"/>
      <c r="GL15" s="1375"/>
      <c r="GM15" s="1375"/>
      <c r="GN15" s="1375"/>
      <c r="GO15" s="1375"/>
      <c r="GP15" s="1375"/>
      <c r="GQ15" s="1375"/>
      <c r="GR15" s="1375"/>
      <c r="GS15" s="1375"/>
      <c r="GT15" s="1375"/>
      <c r="GU15" s="1375"/>
      <c r="GV15" s="1375"/>
      <c r="GW15" s="1375"/>
      <c r="GX15" s="1375"/>
      <c r="GY15" s="1375"/>
      <c r="GZ15" s="1375"/>
      <c r="HA15" s="1375"/>
      <c r="HB15" s="1375"/>
      <c r="HC15" s="1375"/>
      <c r="JN15" s="140"/>
      <c r="JO15" s="140"/>
      <c r="JP15" s="140"/>
      <c r="JQ15" s="194"/>
      <c r="JR15" s="140"/>
      <c r="JS15" s="140"/>
      <c r="JT15" s="140"/>
      <c r="JU15" s="140"/>
      <c r="JV15" s="140"/>
      <c r="KI15" s="17"/>
      <c r="KL15" s="140"/>
      <c r="QB15" s="33" t="s">
        <v>1072</v>
      </c>
    </row>
    <row r="16" spans="1:444" s="33" customFormat="1" x14ac:dyDescent="0.25">
      <c r="A16" s="26"/>
      <c r="B16" s="1382"/>
      <c r="C16" s="1389" t="s">
        <v>3</v>
      </c>
      <c r="D16" s="1389" t="s">
        <v>2</v>
      </c>
      <c r="E16" s="1254" t="s">
        <v>3</v>
      </c>
      <c r="F16" s="1250"/>
      <c r="G16" s="647"/>
      <c r="H16" s="647" t="s">
        <v>908</v>
      </c>
      <c r="I16" s="1383"/>
      <c r="J16" s="647"/>
      <c r="K16" s="647"/>
      <c r="L16" s="647"/>
      <c r="M16" s="647"/>
      <c r="X16"/>
      <c r="Y16"/>
      <c r="Z16"/>
      <c r="AB16"/>
      <c r="AC16"/>
      <c r="AD16" s="7"/>
      <c r="AE16" s="194"/>
      <c r="AF16" s="378"/>
      <c r="AG16" s="378"/>
      <c r="AH16" s="378"/>
      <c r="AI16" s="378"/>
      <c r="AJ16" s="799"/>
      <c r="AK16" s="799"/>
      <c r="AL16" s="799"/>
      <c r="AM16" s="799"/>
      <c r="AN16" s="799"/>
      <c r="AO16" s="799"/>
      <c r="AP16" s="799"/>
      <c r="AQ16" s="799"/>
      <c r="AR16" s="140"/>
      <c r="AS16" s="194"/>
      <c r="AT16" s="8"/>
      <c r="AU16" s="8"/>
      <c r="AV16" s="8"/>
      <c r="AW16" s="8"/>
      <c r="AX16" s="8"/>
      <c r="ES16" s="1375"/>
      <c r="ET16" s="1375"/>
      <c r="EU16" s="1375"/>
      <c r="EV16" s="1375"/>
      <c r="EW16" s="1375"/>
      <c r="EX16" s="1375"/>
      <c r="EY16" s="1375"/>
      <c r="EZ16" s="1375"/>
      <c r="FA16" s="1375"/>
      <c r="FB16" s="1375"/>
      <c r="FC16" s="1375"/>
      <c r="FD16" s="1375"/>
      <c r="FE16" s="1375"/>
      <c r="FF16" s="1375"/>
      <c r="FG16" s="1375"/>
      <c r="FH16" s="1375"/>
      <c r="FI16" s="1375"/>
      <c r="FJ16" s="1375"/>
      <c r="FK16" s="1375"/>
      <c r="FL16" s="1375"/>
      <c r="FM16" s="1375"/>
      <c r="FN16" s="1375"/>
      <c r="FO16" s="1375"/>
      <c r="FP16" s="1375"/>
      <c r="FQ16" s="1375"/>
      <c r="FR16" s="1375"/>
      <c r="FS16" s="1375"/>
      <c r="FT16" s="1375"/>
      <c r="FU16" s="1375"/>
      <c r="FV16" s="1375"/>
      <c r="FW16" s="1375"/>
      <c r="FX16" s="1375"/>
      <c r="FY16" s="1375"/>
      <c r="FZ16" s="1375"/>
      <c r="GA16" s="1375"/>
      <c r="GB16" s="1375"/>
      <c r="GC16" s="1375"/>
      <c r="GD16" s="1375"/>
      <c r="GE16" s="1375"/>
      <c r="GF16" s="1375"/>
      <c r="GG16" s="1375"/>
      <c r="GH16" s="1375"/>
      <c r="GI16" s="1375"/>
      <c r="GJ16" s="1375"/>
      <c r="GK16" s="1375"/>
      <c r="GL16" s="1375"/>
      <c r="GM16" s="1375"/>
      <c r="GN16" s="1375"/>
      <c r="GO16" s="1375"/>
      <c r="GP16" s="1375"/>
      <c r="GQ16" s="1375"/>
      <c r="GR16" s="1375"/>
      <c r="GS16" s="1375"/>
      <c r="GT16" s="1375"/>
      <c r="GU16" s="1375"/>
      <c r="GV16" s="1375"/>
      <c r="GW16" s="1375"/>
      <c r="GX16" s="1375"/>
      <c r="GY16" s="1375"/>
      <c r="GZ16" s="1375"/>
      <c r="HA16" s="1375"/>
      <c r="HB16" s="1375"/>
      <c r="HC16" s="1375"/>
      <c r="JN16" s="140"/>
      <c r="JO16" s="140"/>
      <c r="JP16" s="140"/>
      <c r="JQ16" s="194"/>
      <c r="JR16" s="140"/>
      <c r="JS16" s="140"/>
      <c r="JT16" s="140"/>
      <c r="JU16" s="140"/>
      <c r="JV16" s="140"/>
      <c r="KI16" s="17"/>
      <c r="KL16" s="140"/>
      <c r="QB16" s="33" t="s">
        <v>1072</v>
      </c>
    </row>
    <row r="17" spans="1:444" s="33" customFormat="1" x14ac:dyDescent="0.25">
      <c r="A17" s="26"/>
      <c r="B17" s="1384"/>
      <c r="C17" s="257"/>
      <c r="D17" s="257"/>
      <c r="E17" s="257"/>
      <c r="F17" s="1387"/>
      <c r="G17" s="257"/>
      <c r="H17" s="1385"/>
      <c r="I17" s="1386"/>
      <c r="J17" s="647"/>
      <c r="K17" s="647" t="s">
        <v>926</v>
      </c>
      <c r="L17" s="647"/>
      <c r="M17" s="647"/>
      <c r="X17"/>
      <c r="Y17"/>
      <c r="Z17"/>
      <c r="AA17"/>
      <c r="AB17"/>
      <c r="AC17"/>
      <c r="AD17" s="7"/>
      <c r="AE17" s="194"/>
      <c r="AF17" s="378"/>
      <c r="AG17" s="378"/>
      <c r="AH17" s="378"/>
      <c r="AI17" s="378"/>
      <c r="AJ17" s="799"/>
      <c r="AK17" s="799"/>
      <c r="AL17" s="799"/>
      <c r="AM17" s="799"/>
      <c r="AN17" s="799"/>
      <c r="AO17" s="799"/>
      <c r="AP17" s="799"/>
      <c r="AQ17" s="799"/>
      <c r="AR17" s="140"/>
      <c r="AS17" s="194"/>
      <c r="AT17" s="8"/>
      <c r="AU17" s="8"/>
      <c r="AV17" s="8"/>
      <c r="AW17" s="8"/>
      <c r="AX17" s="8"/>
      <c r="AZ17" s="7" t="s">
        <v>1072</v>
      </c>
      <c r="ES17" s="1375"/>
      <c r="ET17" s="1375"/>
      <c r="EU17" s="1375"/>
      <c r="EV17" s="1375"/>
      <c r="EW17" s="1375"/>
      <c r="EX17" s="1375"/>
      <c r="EY17" s="1375"/>
      <c r="EZ17" s="1375"/>
      <c r="FA17" s="1375"/>
      <c r="FB17" s="1375"/>
      <c r="FC17" s="1375"/>
      <c r="FD17" s="1375"/>
      <c r="FE17" s="1375"/>
      <c r="FF17" s="1375"/>
      <c r="FG17" s="1375"/>
      <c r="FH17" s="1375"/>
      <c r="FI17" s="1375"/>
      <c r="FJ17" s="1375"/>
      <c r="FK17" s="1375"/>
      <c r="FL17" s="1375"/>
      <c r="FM17" s="1375"/>
      <c r="FN17" s="1375"/>
      <c r="FO17" s="1375"/>
      <c r="FP17" s="1375"/>
      <c r="FQ17" s="1375"/>
      <c r="FR17" s="1375"/>
      <c r="FS17" s="1375"/>
      <c r="FT17" s="1375"/>
      <c r="FU17" s="1375"/>
      <c r="FV17" s="1375"/>
      <c r="FW17" s="1375"/>
      <c r="FX17" s="1375"/>
      <c r="FY17" s="1375"/>
      <c r="FZ17" s="1375"/>
      <c r="GA17" s="1375"/>
      <c r="GB17" s="1375"/>
      <c r="GC17" s="1375"/>
      <c r="GD17" s="1375"/>
      <c r="GE17" s="1375"/>
      <c r="GF17" s="1375"/>
      <c r="GG17" s="1375"/>
      <c r="GH17" s="1375"/>
      <c r="GI17" s="1375"/>
      <c r="GJ17" s="1375"/>
      <c r="GK17" s="1375"/>
      <c r="GL17" s="1375"/>
      <c r="GM17" s="1375"/>
      <c r="GN17" s="1375"/>
      <c r="GO17" s="1375"/>
      <c r="GP17" s="1375"/>
      <c r="GQ17" s="1375"/>
      <c r="GR17" s="1375"/>
      <c r="GS17" s="1375"/>
      <c r="GT17" s="1375"/>
      <c r="GU17" s="1375"/>
      <c r="GV17" s="1375"/>
      <c r="GW17" s="1375"/>
      <c r="GX17" s="1375"/>
      <c r="GY17" s="1375"/>
      <c r="GZ17" s="1375"/>
      <c r="HA17" s="1375"/>
      <c r="HB17" s="1375"/>
      <c r="HC17" s="1375"/>
      <c r="JN17" s="140"/>
      <c r="JO17" s="140"/>
      <c r="JP17" s="140"/>
      <c r="JQ17" s="194"/>
      <c r="JR17" s="140"/>
      <c r="JS17" s="140"/>
      <c r="JT17" s="140"/>
      <c r="JU17" s="140"/>
      <c r="JV17" s="140"/>
      <c r="KI17" s="17"/>
      <c r="KL17" s="140"/>
      <c r="KM17" s="7" t="s">
        <v>1072</v>
      </c>
      <c r="QB17" s="33" t="s">
        <v>1072</v>
      </c>
    </row>
    <row r="18" spans="1:444" s="33" customFormat="1" x14ac:dyDescent="0.25">
      <c r="A18" s="26"/>
      <c r="B18" s="647"/>
      <c r="C18" s="17"/>
      <c r="D18" s="17"/>
      <c r="E18" s="17"/>
      <c r="F18" s="1075"/>
      <c r="G18" s="17"/>
      <c r="H18" s="647"/>
      <c r="I18" s="647"/>
      <c r="J18" s="647"/>
      <c r="K18" s="647"/>
      <c r="L18" s="647"/>
      <c r="M18" s="647"/>
      <c r="X18"/>
      <c r="Y18"/>
      <c r="Z18"/>
      <c r="AA18"/>
      <c r="AB18"/>
      <c r="AC18"/>
      <c r="AD18" s="7"/>
      <c r="AE18" s="194"/>
      <c r="AF18" s="378"/>
      <c r="AG18" s="378"/>
      <c r="AH18" s="378"/>
      <c r="AI18" s="378"/>
      <c r="AJ18" s="799"/>
      <c r="AK18" s="799"/>
      <c r="AL18" s="799"/>
      <c r="AM18" s="799"/>
      <c r="AN18" s="799"/>
      <c r="AO18" s="799"/>
      <c r="AP18" s="799"/>
      <c r="AQ18" s="799"/>
      <c r="AR18" s="140"/>
      <c r="AS18" s="194"/>
      <c r="AT18" s="8"/>
      <c r="AU18" s="8"/>
      <c r="AV18" s="8"/>
      <c r="AW18" s="8"/>
      <c r="AX18" s="8"/>
      <c r="AZ18" s="7" t="s">
        <v>1072</v>
      </c>
      <c r="ES18" s="1375"/>
      <c r="ET18" s="1375"/>
      <c r="EU18" s="1375"/>
      <c r="EV18" s="1375"/>
      <c r="EW18" s="1375"/>
      <c r="EX18" s="1375"/>
      <c r="EY18" s="1375"/>
      <c r="EZ18" s="1375"/>
      <c r="FA18" s="1375"/>
      <c r="FB18" s="1375"/>
      <c r="FC18" s="1375"/>
      <c r="FD18" s="1375"/>
      <c r="FE18" s="1375"/>
      <c r="FF18" s="1375"/>
      <c r="FG18" s="1375"/>
      <c r="FH18" s="1375"/>
      <c r="FI18" s="1375"/>
      <c r="FJ18" s="1375"/>
      <c r="FK18" s="1375"/>
      <c r="FL18" s="1375"/>
      <c r="FM18" s="1375"/>
      <c r="FN18" s="1375"/>
      <c r="FO18" s="1375"/>
      <c r="FP18" s="1375"/>
      <c r="FQ18" s="1375"/>
      <c r="FR18" s="1375"/>
      <c r="FS18" s="1375"/>
      <c r="FT18" s="1375"/>
      <c r="FU18" s="1375"/>
      <c r="FV18" s="1375"/>
      <c r="FW18" s="1375"/>
      <c r="FX18" s="1375"/>
      <c r="FY18" s="1375"/>
      <c r="FZ18" s="1375"/>
      <c r="GA18" s="1375"/>
      <c r="GB18" s="1375"/>
      <c r="GC18" s="1375"/>
      <c r="GD18" s="1375"/>
      <c r="GE18" s="1375"/>
      <c r="GF18" s="1375"/>
      <c r="GG18" s="1375"/>
      <c r="GH18" s="1375"/>
      <c r="GI18" s="1375"/>
      <c r="GJ18" s="1375"/>
      <c r="GK18" s="1375"/>
      <c r="GL18" s="1375"/>
      <c r="GM18" s="1375"/>
      <c r="GN18" s="1375"/>
      <c r="GO18" s="1375"/>
      <c r="GP18" s="1375"/>
      <c r="GQ18" s="1375"/>
      <c r="GR18" s="1375"/>
      <c r="GS18" s="1375"/>
      <c r="GT18" s="1375"/>
      <c r="GU18" s="1375"/>
      <c r="GV18" s="1375"/>
      <c r="GW18" s="1375"/>
      <c r="GX18" s="1375"/>
      <c r="GY18" s="1375"/>
      <c r="GZ18" s="1375"/>
      <c r="HA18" s="1375"/>
      <c r="HB18" s="1375"/>
      <c r="HC18" s="1375"/>
      <c r="JN18" s="140"/>
      <c r="JO18" s="140"/>
      <c r="JP18" s="140"/>
      <c r="JQ18" s="194"/>
      <c r="JR18" s="140"/>
      <c r="JS18" s="140"/>
      <c r="JT18" s="140"/>
      <c r="JU18" s="140"/>
      <c r="JV18" s="140"/>
      <c r="KI18" s="17"/>
      <c r="KL18" s="140"/>
      <c r="KM18" s="7" t="s">
        <v>1072</v>
      </c>
      <c r="QB18" s="33" t="s">
        <v>1072</v>
      </c>
    </row>
    <row r="19" spans="1:444" s="33" customFormat="1" x14ac:dyDescent="0.25">
      <c r="A19" s="26"/>
      <c r="B19" s="1379" t="s">
        <v>897</v>
      </c>
      <c r="C19" s="1380" t="s">
        <v>1242</v>
      </c>
      <c r="D19" s="1380"/>
      <c r="E19" s="1380"/>
      <c r="F19" s="1380"/>
      <c r="G19" s="1380"/>
      <c r="H19" s="1380"/>
      <c r="I19" s="1380"/>
      <c r="J19" s="264"/>
      <c r="K19" s="259"/>
      <c r="L19" s="647"/>
      <c r="M19" s="647" t="s">
        <v>1130</v>
      </c>
      <c r="X19"/>
      <c r="Y19"/>
      <c r="Z19"/>
      <c r="AA19"/>
      <c r="AB19"/>
      <c r="AC19"/>
      <c r="AD19" s="7"/>
      <c r="AE19" s="194"/>
      <c r="AF19" s="378"/>
      <c r="AG19" s="378"/>
      <c r="AH19" s="378"/>
      <c r="AI19" s="378"/>
      <c r="AJ19" s="799"/>
      <c r="AK19" s="799"/>
      <c r="AL19" s="799"/>
      <c r="AM19" s="799"/>
      <c r="AN19" s="799"/>
      <c r="AO19" s="799"/>
      <c r="AP19" s="799"/>
      <c r="AQ19" s="799"/>
      <c r="AR19" s="140"/>
      <c r="AS19" s="194"/>
      <c r="AT19" s="8"/>
      <c r="AU19" s="8"/>
      <c r="AV19" s="8"/>
      <c r="AW19" s="8"/>
      <c r="AX19" s="8"/>
      <c r="AZ19" s="7" t="s">
        <v>1072</v>
      </c>
      <c r="ER19" s="7" t="s">
        <v>1072</v>
      </c>
      <c r="ES19" s="1375"/>
      <c r="ET19" s="7" t="s">
        <v>1072</v>
      </c>
      <c r="EU19" s="1375"/>
      <c r="EV19" s="1375"/>
      <c r="EW19" s="1375"/>
      <c r="EX19" s="1375"/>
      <c r="EY19" s="1375"/>
      <c r="EZ19" s="1375"/>
      <c r="FA19" s="1375"/>
      <c r="FB19" s="1375"/>
      <c r="FC19" s="1375"/>
      <c r="FD19" s="1375"/>
      <c r="FE19" s="1375"/>
      <c r="FF19" s="1375"/>
      <c r="FG19" s="1375"/>
      <c r="FH19" s="1375"/>
      <c r="FI19" s="1375"/>
      <c r="FJ19" s="1375"/>
      <c r="FK19" s="1375"/>
      <c r="FL19" s="1375"/>
      <c r="FM19" s="1375"/>
      <c r="FN19" s="1375"/>
      <c r="FO19" s="1375"/>
      <c r="FP19" s="1375"/>
      <c r="FQ19" s="1375"/>
      <c r="FR19" s="1375"/>
      <c r="FS19" s="1375"/>
      <c r="FT19" s="1375"/>
      <c r="FU19" s="1375"/>
      <c r="FV19" s="1375"/>
      <c r="FW19" s="1375"/>
      <c r="FX19" s="1375"/>
      <c r="FY19" s="1375"/>
      <c r="FZ19" s="1375"/>
      <c r="GA19" s="1375"/>
      <c r="GB19" s="1375"/>
      <c r="GC19" s="1375"/>
      <c r="GD19" s="1375"/>
      <c r="GE19" s="1375"/>
      <c r="GF19" s="1375"/>
      <c r="GG19" s="1375"/>
      <c r="GH19" s="1375"/>
      <c r="GI19" s="1375"/>
      <c r="GJ19" s="1375"/>
      <c r="GK19" s="1375"/>
      <c r="GL19" s="1375"/>
      <c r="GM19" s="1375"/>
      <c r="GN19" s="1375"/>
      <c r="GO19" s="1375"/>
      <c r="GP19" s="1375"/>
      <c r="GQ19" s="1375"/>
      <c r="GR19" s="1375"/>
      <c r="GS19" s="1375"/>
      <c r="GT19" s="1375"/>
      <c r="GU19" s="1375"/>
      <c r="GV19" s="1375"/>
      <c r="GW19" s="1375"/>
      <c r="GX19" s="1375"/>
      <c r="GY19" s="1375"/>
      <c r="GZ19" s="1375"/>
      <c r="HA19" s="1375"/>
      <c r="HB19" s="1375"/>
      <c r="HC19" s="1375"/>
      <c r="HD19" s="7"/>
      <c r="JN19" s="140"/>
      <c r="JO19" s="140"/>
      <c r="JP19" s="140"/>
      <c r="JQ19" s="194"/>
      <c r="JR19" s="140"/>
      <c r="JS19" s="140"/>
      <c r="JT19" s="140"/>
      <c r="JU19" s="140"/>
      <c r="JV19" s="140"/>
      <c r="KG19" s="7" t="s">
        <v>1072</v>
      </c>
      <c r="KH19" s="7"/>
      <c r="KI19" s="7"/>
      <c r="KJ19" s="7"/>
      <c r="KK19" s="7"/>
      <c r="KL19" s="140"/>
      <c r="KM19" s="1255">
        <v>0</v>
      </c>
      <c r="KN19" s="1258">
        <v>1</v>
      </c>
      <c r="KO19" s="1258">
        <v>0</v>
      </c>
      <c r="KP19" s="1258">
        <v>1</v>
      </c>
      <c r="KQ19" s="1258">
        <v>0</v>
      </c>
      <c r="KR19" s="1258">
        <v>1</v>
      </c>
      <c r="KS19" s="1258">
        <v>0</v>
      </c>
      <c r="KT19" s="1258">
        <v>1</v>
      </c>
      <c r="KU19" s="1258">
        <v>0</v>
      </c>
      <c r="KV19" s="1258">
        <v>1</v>
      </c>
      <c r="KW19" s="1258">
        <v>0</v>
      </c>
      <c r="KX19" s="1258">
        <v>1</v>
      </c>
      <c r="KY19" s="1258">
        <v>0</v>
      </c>
      <c r="KZ19" s="1258">
        <v>1</v>
      </c>
      <c r="LA19" s="1258">
        <v>0</v>
      </c>
      <c r="LB19" s="1256">
        <v>1</v>
      </c>
      <c r="LC19" s="1255">
        <v>0</v>
      </c>
      <c r="LD19" s="1258">
        <v>1</v>
      </c>
      <c r="LE19" s="1258">
        <v>0</v>
      </c>
      <c r="LF19" s="1258">
        <v>1</v>
      </c>
      <c r="LG19" s="1258">
        <v>0</v>
      </c>
      <c r="LH19" s="1258">
        <v>1</v>
      </c>
      <c r="LI19" s="1258">
        <v>0</v>
      </c>
      <c r="LJ19" s="1258">
        <v>1</v>
      </c>
      <c r="LK19" s="1258">
        <v>0</v>
      </c>
      <c r="LL19" s="1258">
        <v>1</v>
      </c>
      <c r="LM19" s="1258">
        <v>0</v>
      </c>
      <c r="LN19" s="1258">
        <v>1</v>
      </c>
      <c r="LO19" s="1258">
        <v>0</v>
      </c>
      <c r="LP19" s="1258">
        <v>1</v>
      </c>
      <c r="LQ19" s="1258">
        <v>0</v>
      </c>
      <c r="LR19" s="1256">
        <v>1</v>
      </c>
      <c r="LS19" s="1255">
        <v>0</v>
      </c>
      <c r="LT19" s="1258">
        <v>1</v>
      </c>
      <c r="LU19" s="1258">
        <v>0</v>
      </c>
      <c r="LV19" s="1258">
        <v>1</v>
      </c>
      <c r="LW19" s="1258">
        <v>0</v>
      </c>
      <c r="LX19" s="1258">
        <v>1</v>
      </c>
      <c r="LY19" s="1258">
        <v>0</v>
      </c>
      <c r="LZ19" s="1258">
        <v>1</v>
      </c>
      <c r="MA19" s="1258">
        <v>0</v>
      </c>
      <c r="MB19" s="1258">
        <v>1</v>
      </c>
      <c r="MC19" s="1258">
        <v>0</v>
      </c>
      <c r="MD19" s="1258">
        <v>1</v>
      </c>
      <c r="ME19" s="1258">
        <v>0</v>
      </c>
      <c r="MF19" s="1258">
        <v>1</v>
      </c>
      <c r="MG19" s="1258">
        <v>0</v>
      </c>
      <c r="MH19" s="1256">
        <v>1</v>
      </c>
      <c r="MI19" s="1255">
        <v>0</v>
      </c>
      <c r="MJ19" s="1258">
        <v>1</v>
      </c>
      <c r="MK19" s="1258">
        <v>0</v>
      </c>
      <c r="ML19" s="1258">
        <v>1</v>
      </c>
      <c r="MM19" s="1258">
        <v>0</v>
      </c>
      <c r="MN19" s="1258">
        <v>1</v>
      </c>
      <c r="MO19" s="1258">
        <v>0</v>
      </c>
      <c r="MP19" s="1258">
        <v>1</v>
      </c>
      <c r="MQ19" s="1258">
        <v>0</v>
      </c>
      <c r="MR19" s="1258">
        <v>1</v>
      </c>
      <c r="MS19" s="1258">
        <v>0</v>
      </c>
      <c r="MT19" s="1258">
        <v>1</v>
      </c>
      <c r="MU19" s="1258">
        <v>0</v>
      </c>
      <c r="MV19" s="1258">
        <v>1</v>
      </c>
      <c r="MW19" s="1258">
        <v>0</v>
      </c>
      <c r="MX19" s="1256">
        <v>1</v>
      </c>
      <c r="MY19" s="1255">
        <v>0</v>
      </c>
      <c r="MZ19" s="1258">
        <v>1</v>
      </c>
      <c r="NA19" s="1258">
        <v>0</v>
      </c>
      <c r="NB19" s="1258">
        <v>1</v>
      </c>
      <c r="NC19" s="1258">
        <v>0</v>
      </c>
      <c r="ND19" s="1258">
        <v>1</v>
      </c>
      <c r="NE19" s="1258">
        <v>0</v>
      </c>
      <c r="NF19" s="1258">
        <v>1</v>
      </c>
      <c r="NG19" s="1258">
        <v>0</v>
      </c>
      <c r="NH19" s="1258">
        <v>1</v>
      </c>
      <c r="NI19" s="1258">
        <v>0</v>
      </c>
      <c r="NJ19" s="1258">
        <v>1</v>
      </c>
      <c r="NK19" s="1258">
        <v>0</v>
      </c>
      <c r="NL19" s="1258">
        <v>1</v>
      </c>
      <c r="NM19" s="1258">
        <v>0</v>
      </c>
      <c r="NN19" s="1256">
        <v>1</v>
      </c>
      <c r="NO19" s="1255">
        <v>0</v>
      </c>
      <c r="NP19" s="1258">
        <v>1</v>
      </c>
      <c r="NQ19" s="1258">
        <v>0</v>
      </c>
      <c r="NR19" s="1258">
        <v>1</v>
      </c>
      <c r="NS19" s="1258">
        <v>0</v>
      </c>
      <c r="NT19" s="1258">
        <v>1</v>
      </c>
      <c r="NU19" s="1258">
        <v>0</v>
      </c>
      <c r="NV19" s="1258">
        <v>1</v>
      </c>
      <c r="NW19" s="1258">
        <v>0</v>
      </c>
      <c r="NX19" s="1258">
        <v>1</v>
      </c>
      <c r="NY19" s="1258">
        <v>0</v>
      </c>
      <c r="NZ19" s="1258">
        <v>1</v>
      </c>
      <c r="OA19" s="1258">
        <v>0</v>
      </c>
      <c r="OB19" s="1258">
        <v>1</v>
      </c>
      <c r="OC19" s="1258">
        <v>0</v>
      </c>
      <c r="OD19" s="1256">
        <v>1</v>
      </c>
      <c r="OE19" s="1255">
        <v>0</v>
      </c>
      <c r="OF19" s="1258">
        <v>1</v>
      </c>
      <c r="OG19" s="1258">
        <v>0</v>
      </c>
      <c r="OH19" s="1258">
        <v>1</v>
      </c>
      <c r="OI19" s="1258">
        <v>0</v>
      </c>
      <c r="OJ19" s="1258">
        <v>1</v>
      </c>
      <c r="OK19" s="1258">
        <v>0</v>
      </c>
      <c r="OL19" s="1258">
        <v>1</v>
      </c>
      <c r="OM19" s="1258">
        <v>0</v>
      </c>
      <c r="ON19" s="1258">
        <v>1</v>
      </c>
      <c r="OO19" s="1258">
        <v>0</v>
      </c>
      <c r="OP19" s="1258">
        <v>1</v>
      </c>
      <c r="OQ19" s="1258">
        <v>0</v>
      </c>
      <c r="OR19" s="1258">
        <v>1</v>
      </c>
      <c r="OS19" s="1258">
        <v>0</v>
      </c>
      <c r="OT19" s="1256">
        <v>1</v>
      </c>
      <c r="OU19" s="1255">
        <v>0</v>
      </c>
      <c r="OV19" s="1258">
        <v>1</v>
      </c>
      <c r="OW19" s="1258">
        <v>0</v>
      </c>
      <c r="OX19" s="1258">
        <v>1</v>
      </c>
      <c r="OY19" s="1258">
        <v>0</v>
      </c>
      <c r="OZ19" s="1258">
        <v>1</v>
      </c>
      <c r="PA19" s="1258">
        <v>0</v>
      </c>
      <c r="PB19" s="1258">
        <v>1</v>
      </c>
      <c r="PC19" s="1258">
        <v>0</v>
      </c>
      <c r="PD19" s="1258">
        <v>1</v>
      </c>
      <c r="PE19" s="1258">
        <v>0</v>
      </c>
      <c r="PF19" s="1258">
        <v>1</v>
      </c>
      <c r="PG19" s="1258">
        <v>0</v>
      </c>
      <c r="PH19" s="1258">
        <v>1</v>
      </c>
      <c r="PI19" s="1258">
        <v>0</v>
      </c>
      <c r="PJ19" s="1256">
        <v>1</v>
      </c>
      <c r="PK19" s="1255">
        <v>0</v>
      </c>
      <c r="PL19" s="1258">
        <v>1</v>
      </c>
      <c r="PM19" s="1258">
        <v>0</v>
      </c>
      <c r="PN19" s="1258">
        <v>1</v>
      </c>
      <c r="PO19" s="1258">
        <v>0</v>
      </c>
      <c r="PP19" s="1258">
        <v>1</v>
      </c>
      <c r="PQ19" s="1258">
        <v>0</v>
      </c>
      <c r="PR19" s="1258">
        <v>1</v>
      </c>
      <c r="PS19" s="1258">
        <v>0</v>
      </c>
      <c r="PT19" s="1258">
        <v>1</v>
      </c>
      <c r="PU19" s="1258">
        <v>0</v>
      </c>
      <c r="PV19" s="1258">
        <v>1</v>
      </c>
      <c r="PW19" s="1258">
        <v>0</v>
      </c>
      <c r="PX19" s="1258">
        <v>1</v>
      </c>
      <c r="PY19" s="1258">
        <v>0</v>
      </c>
      <c r="PZ19" s="1256">
        <v>1</v>
      </c>
      <c r="QB19" s="33" t="s">
        <v>1072</v>
      </c>
    </row>
    <row r="20" spans="1:444" s="33" customFormat="1" x14ac:dyDescent="0.25">
      <c r="A20" s="26"/>
      <c r="B20" s="1382"/>
      <c r="C20" s="647"/>
      <c r="D20" s="1075" t="s">
        <v>903</v>
      </c>
      <c r="E20" s="647"/>
      <c r="F20" s="647" t="s">
        <v>1131</v>
      </c>
      <c r="I20" s="647"/>
      <c r="J20" s="647"/>
      <c r="K20" s="1383"/>
      <c r="L20" s="647"/>
      <c r="M20" s="647"/>
      <c r="X20"/>
      <c r="Y20"/>
      <c r="Z20"/>
      <c r="AA20"/>
      <c r="AB20"/>
      <c r="AC20"/>
      <c r="AD20" s="7"/>
      <c r="AE20" s="194"/>
      <c r="AF20" s="378"/>
      <c r="AG20" s="378"/>
      <c r="AH20" s="378"/>
      <c r="AI20" s="378"/>
      <c r="AJ20" s="799"/>
      <c r="AK20" s="799"/>
      <c r="AL20" s="799"/>
      <c r="AM20" s="799"/>
      <c r="AN20" s="799"/>
      <c r="AO20" s="799"/>
      <c r="AP20" s="799"/>
      <c r="AQ20" s="799"/>
      <c r="AR20" s="140"/>
      <c r="AS20" s="194"/>
      <c r="AT20" s="8"/>
      <c r="AU20" s="8"/>
      <c r="AV20" s="8"/>
      <c r="AW20" s="8"/>
      <c r="AX20" s="8"/>
      <c r="AZ20" s="7" t="s">
        <v>1072</v>
      </c>
      <c r="ER20" s="7" t="s">
        <v>1072</v>
      </c>
      <c r="ES20" s="1375"/>
      <c r="ET20" s="7" t="s">
        <v>1072</v>
      </c>
      <c r="EU20" s="1375"/>
      <c r="EV20" s="1375"/>
      <c r="EW20" s="1375"/>
      <c r="EX20" s="1375"/>
      <c r="EY20" s="1375"/>
      <c r="EZ20" s="1375"/>
      <c r="FA20" s="1375"/>
      <c r="FB20" s="1375"/>
      <c r="FC20" s="1375"/>
      <c r="FD20" s="1375"/>
      <c r="FE20" s="1375"/>
      <c r="FF20" s="1375"/>
      <c r="FG20" s="1375"/>
      <c r="FH20" s="1375"/>
      <c r="FI20" s="1375"/>
      <c r="FJ20" s="1375"/>
      <c r="FK20" s="1375"/>
      <c r="FL20" s="1375"/>
      <c r="FM20" s="1375"/>
      <c r="FN20" s="1375"/>
      <c r="FO20" s="1375"/>
      <c r="FP20" s="1375"/>
      <c r="FQ20" s="1375"/>
      <c r="FR20" s="1375"/>
      <c r="FS20" s="1375"/>
      <c r="FT20" s="1375"/>
      <c r="FU20" s="1375"/>
      <c r="FV20" s="1375"/>
      <c r="FW20" s="1375"/>
      <c r="FX20" s="1375"/>
      <c r="FY20" s="1375"/>
      <c r="FZ20" s="1375"/>
      <c r="GA20" s="1375"/>
      <c r="GB20" s="1375"/>
      <c r="GC20" s="1375"/>
      <c r="GD20" s="1375"/>
      <c r="GE20" s="1375"/>
      <c r="GF20" s="1375"/>
      <c r="GG20" s="1375"/>
      <c r="GH20" s="1375"/>
      <c r="GI20" s="1375"/>
      <c r="GJ20" s="1375"/>
      <c r="GK20" s="1375"/>
      <c r="GL20" s="1375"/>
      <c r="GM20" s="1375"/>
      <c r="GN20" s="1375"/>
      <c r="GO20" s="1375"/>
      <c r="GP20" s="1375"/>
      <c r="GQ20" s="1375"/>
      <c r="GR20" s="1375"/>
      <c r="GS20" s="1375"/>
      <c r="GT20" s="1375"/>
      <c r="GU20" s="1375"/>
      <c r="GV20" s="1375"/>
      <c r="GW20" s="1375"/>
      <c r="GX20" s="1375"/>
      <c r="GY20" s="1375"/>
      <c r="GZ20" s="1375"/>
      <c r="HA20" s="1375"/>
      <c r="HB20" s="1375"/>
      <c r="HC20" s="1375"/>
      <c r="HD20" s="7"/>
      <c r="JN20" s="140"/>
      <c r="JO20" s="140"/>
      <c r="JP20" s="140"/>
      <c r="JQ20" s="194"/>
      <c r="JR20" s="140"/>
      <c r="JS20" s="140"/>
      <c r="JT20" s="140"/>
      <c r="JU20" s="140"/>
      <c r="JV20" s="140"/>
      <c r="KG20" s="7" t="s">
        <v>1072</v>
      </c>
      <c r="KH20" s="7"/>
      <c r="KI20" s="7"/>
      <c r="KJ20" s="7"/>
      <c r="KK20" s="7"/>
      <c r="KL20" s="140"/>
      <c r="KM20" s="1253">
        <v>0</v>
      </c>
      <c r="KN20" s="1251">
        <v>0</v>
      </c>
      <c r="KO20" s="1251">
        <v>1</v>
      </c>
      <c r="KP20" s="1251">
        <v>1</v>
      </c>
      <c r="KQ20" s="1251">
        <v>0</v>
      </c>
      <c r="KR20" s="1251">
        <v>0</v>
      </c>
      <c r="KS20" s="1251">
        <v>1</v>
      </c>
      <c r="KT20" s="1251">
        <v>1</v>
      </c>
      <c r="KU20" s="1251">
        <v>0</v>
      </c>
      <c r="KV20" s="1251">
        <v>0</v>
      </c>
      <c r="KW20" s="1251">
        <v>1</v>
      </c>
      <c r="KX20" s="1251">
        <v>1</v>
      </c>
      <c r="KY20" s="1251">
        <v>0</v>
      </c>
      <c r="KZ20" s="1251">
        <v>0</v>
      </c>
      <c r="LA20" s="1251">
        <v>1</v>
      </c>
      <c r="LB20" s="1252">
        <v>1</v>
      </c>
      <c r="LC20" s="1253">
        <v>0</v>
      </c>
      <c r="LD20" s="1251">
        <v>0</v>
      </c>
      <c r="LE20" s="1251">
        <v>1</v>
      </c>
      <c r="LF20" s="1251">
        <v>1</v>
      </c>
      <c r="LG20" s="1251">
        <v>0</v>
      </c>
      <c r="LH20" s="1251">
        <v>0</v>
      </c>
      <c r="LI20" s="1251">
        <v>1</v>
      </c>
      <c r="LJ20" s="1251">
        <v>1</v>
      </c>
      <c r="LK20" s="1251">
        <v>0</v>
      </c>
      <c r="LL20" s="1251">
        <v>0</v>
      </c>
      <c r="LM20" s="1251">
        <v>1</v>
      </c>
      <c r="LN20" s="1251">
        <v>1</v>
      </c>
      <c r="LO20" s="1251">
        <v>0</v>
      </c>
      <c r="LP20" s="1251">
        <v>0</v>
      </c>
      <c r="LQ20" s="1251">
        <v>1</v>
      </c>
      <c r="LR20" s="1252">
        <v>1</v>
      </c>
      <c r="LS20" s="1253">
        <v>0</v>
      </c>
      <c r="LT20" s="1251">
        <v>0</v>
      </c>
      <c r="LU20" s="1251">
        <v>1</v>
      </c>
      <c r="LV20" s="1251">
        <v>1</v>
      </c>
      <c r="LW20" s="1251">
        <v>0</v>
      </c>
      <c r="LX20" s="1251">
        <v>0</v>
      </c>
      <c r="LY20" s="1251">
        <v>1</v>
      </c>
      <c r="LZ20" s="1251">
        <v>1</v>
      </c>
      <c r="MA20" s="1251">
        <v>0</v>
      </c>
      <c r="MB20" s="1251">
        <v>0</v>
      </c>
      <c r="MC20" s="1251">
        <v>1</v>
      </c>
      <c r="MD20" s="1251">
        <v>1</v>
      </c>
      <c r="ME20" s="1251">
        <v>0</v>
      </c>
      <c r="MF20" s="1251">
        <v>0</v>
      </c>
      <c r="MG20" s="1251">
        <v>1</v>
      </c>
      <c r="MH20" s="1252">
        <v>1</v>
      </c>
      <c r="MI20" s="1253">
        <v>0</v>
      </c>
      <c r="MJ20" s="1251">
        <v>0</v>
      </c>
      <c r="MK20" s="1251">
        <v>1</v>
      </c>
      <c r="ML20" s="1251">
        <v>1</v>
      </c>
      <c r="MM20" s="1251">
        <v>0</v>
      </c>
      <c r="MN20" s="1251">
        <v>0</v>
      </c>
      <c r="MO20" s="1251">
        <v>1</v>
      </c>
      <c r="MP20" s="1251">
        <v>1</v>
      </c>
      <c r="MQ20" s="1251">
        <v>0</v>
      </c>
      <c r="MR20" s="1251">
        <v>0</v>
      </c>
      <c r="MS20" s="1251">
        <v>1</v>
      </c>
      <c r="MT20" s="1251">
        <v>1</v>
      </c>
      <c r="MU20" s="1251">
        <v>0</v>
      </c>
      <c r="MV20" s="1251">
        <v>0</v>
      </c>
      <c r="MW20" s="1251">
        <v>1</v>
      </c>
      <c r="MX20" s="1252">
        <v>1</v>
      </c>
      <c r="MY20" s="1253">
        <v>0</v>
      </c>
      <c r="MZ20" s="1251">
        <v>0</v>
      </c>
      <c r="NA20" s="1251">
        <v>1</v>
      </c>
      <c r="NB20" s="1251">
        <v>1</v>
      </c>
      <c r="NC20" s="1251">
        <v>0</v>
      </c>
      <c r="ND20" s="1251">
        <v>0</v>
      </c>
      <c r="NE20" s="1251">
        <v>1</v>
      </c>
      <c r="NF20" s="1251">
        <v>1</v>
      </c>
      <c r="NG20" s="1251">
        <v>0</v>
      </c>
      <c r="NH20" s="1251">
        <v>0</v>
      </c>
      <c r="NI20" s="1251">
        <v>1</v>
      </c>
      <c r="NJ20" s="1251">
        <v>1</v>
      </c>
      <c r="NK20" s="1251">
        <v>0</v>
      </c>
      <c r="NL20" s="1251">
        <v>0</v>
      </c>
      <c r="NM20" s="1251">
        <v>1</v>
      </c>
      <c r="NN20" s="1252">
        <v>1</v>
      </c>
      <c r="NO20" s="1253">
        <v>0</v>
      </c>
      <c r="NP20" s="1251">
        <v>0</v>
      </c>
      <c r="NQ20" s="1251">
        <v>1</v>
      </c>
      <c r="NR20" s="1251">
        <v>1</v>
      </c>
      <c r="NS20" s="1251">
        <v>0</v>
      </c>
      <c r="NT20" s="1251">
        <v>0</v>
      </c>
      <c r="NU20" s="1251">
        <v>1</v>
      </c>
      <c r="NV20" s="1251">
        <v>1</v>
      </c>
      <c r="NW20" s="1251">
        <v>0</v>
      </c>
      <c r="NX20" s="1251">
        <v>0</v>
      </c>
      <c r="NY20" s="1251">
        <v>1</v>
      </c>
      <c r="NZ20" s="1251">
        <v>1</v>
      </c>
      <c r="OA20" s="1251">
        <v>0</v>
      </c>
      <c r="OB20" s="1251">
        <v>0</v>
      </c>
      <c r="OC20" s="1251">
        <v>1</v>
      </c>
      <c r="OD20" s="1252">
        <v>1</v>
      </c>
      <c r="OE20" s="1253">
        <v>0</v>
      </c>
      <c r="OF20" s="1251">
        <v>0</v>
      </c>
      <c r="OG20" s="1251">
        <v>1</v>
      </c>
      <c r="OH20" s="1251">
        <v>1</v>
      </c>
      <c r="OI20" s="1251">
        <v>0</v>
      </c>
      <c r="OJ20" s="1251">
        <v>0</v>
      </c>
      <c r="OK20" s="1251">
        <v>1</v>
      </c>
      <c r="OL20" s="1251">
        <v>1</v>
      </c>
      <c r="OM20" s="1251">
        <v>0</v>
      </c>
      <c r="ON20" s="1251">
        <v>0</v>
      </c>
      <c r="OO20" s="1251">
        <v>1</v>
      </c>
      <c r="OP20" s="1251">
        <v>1</v>
      </c>
      <c r="OQ20" s="1251">
        <v>0</v>
      </c>
      <c r="OR20" s="1251">
        <v>0</v>
      </c>
      <c r="OS20" s="1251">
        <v>1</v>
      </c>
      <c r="OT20" s="1252">
        <v>1</v>
      </c>
      <c r="OU20" s="1253">
        <v>0</v>
      </c>
      <c r="OV20" s="1251">
        <v>0</v>
      </c>
      <c r="OW20" s="1251">
        <v>1</v>
      </c>
      <c r="OX20" s="1251">
        <v>1</v>
      </c>
      <c r="OY20" s="1251">
        <v>0</v>
      </c>
      <c r="OZ20" s="1251">
        <v>0</v>
      </c>
      <c r="PA20" s="1251">
        <v>1</v>
      </c>
      <c r="PB20" s="1251">
        <v>1</v>
      </c>
      <c r="PC20" s="1251">
        <v>0</v>
      </c>
      <c r="PD20" s="1251">
        <v>0</v>
      </c>
      <c r="PE20" s="1251">
        <v>1</v>
      </c>
      <c r="PF20" s="1251">
        <v>1</v>
      </c>
      <c r="PG20" s="1251">
        <v>0</v>
      </c>
      <c r="PH20" s="1251">
        <v>0</v>
      </c>
      <c r="PI20" s="1251">
        <v>1</v>
      </c>
      <c r="PJ20" s="1252">
        <v>1</v>
      </c>
      <c r="PK20" s="1253">
        <v>0</v>
      </c>
      <c r="PL20" s="1251">
        <v>0</v>
      </c>
      <c r="PM20" s="1251">
        <v>1</v>
      </c>
      <c r="PN20" s="1251">
        <v>1</v>
      </c>
      <c r="PO20" s="1251">
        <v>0</v>
      </c>
      <c r="PP20" s="1251">
        <v>0</v>
      </c>
      <c r="PQ20" s="1251">
        <v>1</v>
      </c>
      <c r="PR20" s="1251">
        <v>1</v>
      </c>
      <c r="PS20" s="1251">
        <v>0</v>
      </c>
      <c r="PT20" s="1251">
        <v>0</v>
      </c>
      <c r="PU20" s="1251">
        <v>1</v>
      </c>
      <c r="PV20" s="1251">
        <v>1</v>
      </c>
      <c r="PW20" s="1251">
        <v>0</v>
      </c>
      <c r="PX20" s="1251">
        <v>0</v>
      </c>
      <c r="PY20" s="1251">
        <v>1</v>
      </c>
      <c r="PZ20" s="1252">
        <v>1</v>
      </c>
      <c r="QB20" s="33" t="s">
        <v>1072</v>
      </c>
    </row>
    <row r="21" spans="1:444" s="33" customFormat="1" x14ac:dyDescent="0.25">
      <c r="A21" s="26"/>
      <c r="B21" s="1479" t="s">
        <v>1146</v>
      </c>
      <c r="C21" s="1389" t="s">
        <v>367</v>
      </c>
      <c r="D21" s="1389" t="s">
        <v>368</v>
      </c>
      <c r="E21" s="17"/>
      <c r="F21" s="1250"/>
      <c r="G21" s="647"/>
      <c r="H21" s="647" t="s">
        <v>898</v>
      </c>
      <c r="I21" s="647"/>
      <c r="J21" s="647"/>
      <c r="K21" s="1383"/>
      <c r="L21" s="647"/>
      <c r="M21" s="647"/>
      <c r="X21"/>
      <c r="Y21"/>
      <c r="Z21"/>
      <c r="AA21"/>
      <c r="AB21"/>
      <c r="AC21"/>
      <c r="AD21" s="7"/>
      <c r="AE21" s="194"/>
      <c r="AF21" s="378"/>
      <c r="AG21" s="378"/>
      <c r="AH21" s="378"/>
      <c r="AI21" s="378"/>
      <c r="AJ21" s="799"/>
      <c r="AK21" s="799"/>
      <c r="AL21" s="799"/>
      <c r="AM21" s="799"/>
      <c r="AN21" s="799"/>
      <c r="AO21" s="799"/>
      <c r="AP21" s="799"/>
      <c r="AQ21" s="799"/>
      <c r="AR21" s="140"/>
      <c r="AS21" s="194"/>
      <c r="AT21" s="8"/>
      <c r="AU21" s="8"/>
      <c r="AV21" s="8"/>
      <c r="AW21" s="8"/>
      <c r="AX21" s="8"/>
      <c r="AZ21" s="7" t="s">
        <v>1072</v>
      </c>
      <c r="ER21" s="7" t="s">
        <v>1072</v>
      </c>
      <c r="ES21" s="1375"/>
      <c r="ET21" s="7" t="s">
        <v>1072</v>
      </c>
      <c r="EU21" s="1375"/>
      <c r="EV21" s="1375"/>
      <c r="EW21" s="1375"/>
      <c r="EX21" s="1375"/>
      <c r="EY21" s="1375"/>
      <c r="EZ21" s="1375"/>
      <c r="FA21" s="1375"/>
      <c r="FB21" s="1375"/>
      <c r="FC21" s="1375"/>
      <c r="FD21" s="1375"/>
      <c r="FE21" s="1375"/>
      <c r="FF21" s="1375"/>
      <c r="FG21" s="1375"/>
      <c r="FH21" s="1375"/>
      <c r="FI21" s="1375"/>
      <c r="FJ21" s="1375"/>
      <c r="FK21" s="1375"/>
      <c r="FL21" s="1375"/>
      <c r="FM21" s="1375"/>
      <c r="FN21" s="1375"/>
      <c r="FO21" s="1375"/>
      <c r="FP21" s="1375"/>
      <c r="FQ21" s="1375"/>
      <c r="FR21" s="1375"/>
      <c r="FS21" s="1375"/>
      <c r="FT21" s="1375"/>
      <c r="FU21" s="1375"/>
      <c r="FV21" s="1375"/>
      <c r="FW21" s="1375"/>
      <c r="FX21" s="1375"/>
      <c r="FY21" s="1375"/>
      <c r="FZ21" s="1375"/>
      <c r="GA21" s="1375"/>
      <c r="GB21" s="1375"/>
      <c r="GC21" s="1375"/>
      <c r="GD21" s="1375"/>
      <c r="GE21" s="1375"/>
      <c r="GF21" s="1375"/>
      <c r="GG21" s="1375"/>
      <c r="GH21" s="1375"/>
      <c r="GI21" s="1375"/>
      <c r="GJ21" s="1375"/>
      <c r="GK21" s="1375"/>
      <c r="GL21" s="1375"/>
      <c r="GM21" s="1375"/>
      <c r="GN21" s="1375"/>
      <c r="GO21" s="1375"/>
      <c r="GP21" s="1375"/>
      <c r="GQ21" s="1375"/>
      <c r="GR21" s="1375"/>
      <c r="GS21" s="1375"/>
      <c r="GT21" s="1375"/>
      <c r="GU21" s="1375"/>
      <c r="GV21" s="1375"/>
      <c r="GW21" s="1375"/>
      <c r="GX21" s="1375"/>
      <c r="GY21" s="1375"/>
      <c r="GZ21" s="1375"/>
      <c r="HA21" s="1375"/>
      <c r="HB21" s="1375"/>
      <c r="HC21" s="1375"/>
      <c r="HD21" s="7"/>
      <c r="JN21" s="140"/>
      <c r="JO21" s="140"/>
      <c r="JP21" s="140"/>
      <c r="JQ21" s="194"/>
      <c r="JR21" s="140"/>
      <c r="JS21" s="140"/>
      <c r="JT21" s="140"/>
      <c r="JU21" s="140"/>
      <c r="JV21" s="140"/>
      <c r="KG21" s="7" t="s">
        <v>1072</v>
      </c>
      <c r="KH21" s="7"/>
      <c r="KI21" s="7"/>
      <c r="KJ21" s="7"/>
      <c r="KK21" s="7"/>
      <c r="KL21" s="140"/>
      <c r="KM21" s="1253">
        <v>0</v>
      </c>
      <c r="KN21" s="1251">
        <v>0</v>
      </c>
      <c r="KO21" s="1251">
        <v>0</v>
      </c>
      <c r="KP21" s="1251">
        <v>0</v>
      </c>
      <c r="KQ21" s="1251">
        <v>1</v>
      </c>
      <c r="KR21" s="1251">
        <v>1</v>
      </c>
      <c r="KS21" s="1251">
        <v>1</v>
      </c>
      <c r="KT21" s="1251">
        <v>1</v>
      </c>
      <c r="KU21" s="1251">
        <v>0</v>
      </c>
      <c r="KV21" s="1251">
        <v>0</v>
      </c>
      <c r="KW21" s="1251">
        <v>0</v>
      </c>
      <c r="KX21" s="1251">
        <v>0</v>
      </c>
      <c r="KY21" s="1251">
        <v>1</v>
      </c>
      <c r="KZ21" s="1251">
        <v>1</v>
      </c>
      <c r="LA21" s="1251">
        <v>1</v>
      </c>
      <c r="LB21" s="1252">
        <v>1</v>
      </c>
      <c r="LC21" s="1253">
        <v>0</v>
      </c>
      <c r="LD21" s="1251">
        <v>0</v>
      </c>
      <c r="LE21" s="1251">
        <v>0</v>
      </c>
      <c r="LF21" s="1251">
        <v>0</v>
      </c>
      <c r="LG21" s="1251">
        <v>1</v>
      </c>
      <c r="LH21" s="1251">
        <v>1</v>
      </c>
      <c r="LI21" s="1251">
        <v>1</v>
      </c>
      <c r="LJ21" s="1251">
        <v>1</v>
      </c>
      <c r="LK21" s="1251">
        <v>0</v>
      </c>
      <c r="LL21" s="1251">
        <v>0</v>
      </c>
      <c r="LM21" s="1251">
        <v>0</v>
      </c>
      <c r="LN21" s="1251">
        <v>0</v>
      </c>
      <c r="LO21" s="1251">
        <v>1</v>
      </c>
      <c r="LP21" s="1251">
        <v>1</v>
      </c>
      <c r="LQ21" s="1251">
        <v>1</v>
      </c>
      <c r="LR21" s="1252">
        <v>1</v>
      </c>
      <c r="LS21" s="1253">
        <v>0</v>
      </c>
      <c r="LT21" s="1251">
        <v>0</v>
      </c>
      <c r="LU21" s="1251">
        <v>0</v>
      </c>
      <c r="LV21" s="1251">
        <v>0</v>
      </c>
      <c r="LW21" s="1251">
        <v>1</v>
      </c>
      <c r="LX21" s="1251">
        <v>1</v>
      </c>
      <c r="LY21" s="1251">
        <v>1</v>
      </c>
      <c r="LZ21" s="1251">
        <v>1</v>
      </c>
      <c r="MA21" s="1251">
        <v>0</v>
      </c>
      <c r="MB21" s="1251">
        <v>0</v>
      </c>
      <c r="MC21" s="1251">
        <v>0</v>
      </c>
      <c r="MD21" s="1251">
        <v>0</v>
      </c>
      <c r="ME21" s="1251">
        <v>1</v>
      </c>
      <c r="MF21" s="1251">
        <v>1</v>
      </c>
      <c r="MG21" s="1251">
        <v>1</v>
      </c>
      <c r="MH21" s="1252">
        <v>1</v>
      </c>
      <c r="MI21" s="1253">
        <v>0</v>
      </c>
      <c r="MJ21" s="1251">
        <v>0</v>
      </c>
      <c r="MK21" s="1251">
        <v>0</v>
      </c>
      <c r="ML21" s="1251">
        <v>0</v>
      </c>
      <c r="MM21" s="1251">
        <v>1</v>
      </c>
      <c r="MN21" s="1251">
        <v>1</v>
      </c>
      <c r="MO21" s="1251">
        <v>1</v>
      </c>
      <c r="MP21" s="1251">
        <v>1</v>
      </c>
      <c r="MQ21" s="1251">
        <v>0</v>
      </c>
      <c r="MR21" s="1251">
        <v>0</v>
      </c>
      <c r="MS21" s="1251">
        <v>0</v>
      </c>
      <c r="MT21" s="1251">
        <v>0</v>
      </c>
      <c r="MU21" s="1251">
        <v>1</v>
      </c>
      <c r="MV21" s="1251">
        <v>1</v>
      </c>
      <c r="MW21" s="1251">
        <v>1</v>
      </c>
      <c r="MX21" s="1252">
        <v>1</v>
      </c>
      <c r="MY21" s="1253">
        <v>0</v>
      </c>
      <c r="MZ21" s="1251">
        <v>0</v>
      </c>
      <c r="NA21" s="1251">
        <v>0</v>
      </c>
      <c r="NB21" s="1251">
        <v>0</v>
      </c>
      <c r="NC21" s="1251">
        <v>1</v>
      </c>
      <c r="ND21" s="1251">
        <v>1</v>
      </c>
      <c r="NE21" s="1251">
        <v>1</v>
      </c>
      <c r="NF21" s="1251">
        <v>1</v>
      </c>
      <c r="NG21" s="1251">
        <v>0</v>
      </c>
      <c r="NH21" s="1251">
        <v>0</v>
      </c>
      <c r="NI21" s="1251">
        <v>0</v>
      </c>
      <c r="NJ21" s="1251">
        <v>0</v>
      </c>
      <c r="NK21" s="1251">
        <v>1</v>
      </c>
      <c r="NL21" s="1251">
        <v>1</v>
      </c>
      <c r="NM21" s="1251">
        <v>1</v>
      </c>
      <c r="NN21" s="1252">
        <v>1</v>
      </c>
      <c r="NO21" s="1253">
        <v>0</v>
      </c>
      <c r="NP21" s="1251">
        <v>0</v>
      </c>
      <c r="NQ21" s="1251">
        <v>0</v>
      </c>
      <c r="NR21" s="1251">
        <v>0</v>
      </c>
      <c r="NS21" s="1251">
        <v>1</v>
      </c>
      <c r="NT21" s="1251">
        <v>1</v>
      </c>
      <c r="NU21" s="1251">
        <v>1</v>
      </c>
      <c r="NV21" s="1251">
        <v>1</v>
      </c>
      <c r="NW21" s="1251">
        <v>0</v>
      </c>
      <c r="NX21" s="1251">
        <v>0</v>
      </c>
      <c r="NY21" s="1251">
        <v>0</v>
      </c>
      <c r="NZ21" s="1251">
        <v>0</v>
      </c>
      <c r="OA21" s="1251">
        <v>1</v>
      </c>
      <c r="OB21" s="1251">
        <v>1</v>
      </c>
      <c r="OC21" s="1251">
        <v>1</v>
      </c>
      <c r="OD21" s="1252">
        <v>1</v>
      </c>
      <c r="OE21" s="1253">
        <v>0</v>
      </c>
      <c r="OF21" s="1251">
        <v>0</v>
      </c>
      <c r="OG21" s="1251">
        <v>0</v>
      </c>
      <c r="OH21" s="1251">
        <v>0</v>
      </c>
      <c r="OI21" s="1251">
        <v>1</v>
      </c>
      <c r="OJ21" s="1251">
        <v>1</v>
      </c>
      <c r="OK21" s="1251">
        <v>1</v>
      </c>
      <c r="OL21" s="1251">
        <v>1</v>
      </c>
      <c r="OM21" s="1251">
        <v>0</v>
      </c>
      <c r="ON21" s="1251">
        <v>0</v>
      </c>
      <c r="OO21" s="1251">
        <v>0</v>
      </c>
      <c r="OP21" s="1251">
        <v>0</v>
      </c>
      <c r="OQ21" s="1251">
        <v>1</v>
      </c>
      <c r="OR21" s="1251">
        <v>1</v>
      </c>
      <c r="OS21" s="1251">
        <v>1</v>
      </c>
      <c r="OT21" s="1252">
        <v>1</v>
      </c>
      <c r="OU21" s="1253">
        <v>0</v>
      </c>
      <c r="OV21" s="1251">
        <v>0</v>
      </c>
      <c r="OW21" s="1251">
        <v>0</v>
      </c>
      <c r="OX21" s="1251">
        <v>0</v>
      </c>
      <c r="OY21" s="1251">
        <v>1</v>
      </c>
      <c r="OZ21" s="1251">
        <v>1</v>
      </c>
      <c r="PA21" s="1251">
        <v>1</v>
      </c>
      <c r="PB21" s="1251">
        <v>1</v>
      </c>
      <c r="PC21" s="1251">
        <v>0</v>
      </c>
      <c r="PD21" s="1251">
        <v>0</v>
      </c>
      <c r="PE21" s="1251">
        <v>0</v>
      </c>
      <c r="PF21" s="1251">
        <v>0</v>
      </c>
      <c r="PG21" s="1251">
        <v>1</v>
      </c>
      <c r="PH21" s="1251">
        <v>1</v>
      </c>
      <c r="PI21" s="1251">
        <v>1</v>
      </c>
      <c r="PJ21" s="1252">
        <v>1</v>
      </c>
      <c r="PK21" s="1253">
        <v>0</v>
      </c>
      <c r="PL21" s="1251">
        <v>0</v>
      </c>
      <c r="PM21" s="1251">
        <v>0</v>
      </c>
      <c r="PN21" s="1251">
        <v>0</v>
      </c>
      <c r="PO21" s="1251">
        <v>1</v>
      </c>
      <c r="PP21" s="1251">
        <v>1</v>
      </c>
      <c r="PQ21" s="1251">
        <v>1</v>
      </c>
      <c r="PR21" s="1251">
        <v>1</v>
      </c>
      <c r="PS21" s="1251">
        <v>0</v>
      </c>
      <c r="PT21" s="1251">
        <v>0</v>
      </c>
      <c r="PU21" s="1251">
        <v>0</v>
      </c>
      <c r="PV21" s="1251">
        <v>0</v>
      </c>
      <c r="PW21" s="1251">
        <v>1</v>
      </c>
      <c r="PX21" s="1251">
        <v>1</v>
      </c>
      <c r="PY21" s="1251">
        <v>1</v>
      </c>
      <c r="PZ21" s="1252">
        <v>1</v>
      </c>
      <c r="QB21" s="33" t="s">
        <v>1072</v>
      </c>
    </row>
    <row r="22" spans="1:444" s="33" customFormat="1" x14ac:dyDescent="0.25">
      <c r="A22" s="26"/>
      <c r="B22" s="1480">
        <f>D22-C22</f>
        <v>49000</v>
      </c>
      <c r="C22" s="981">
        <v>1000</v>
      </c>
      <c r="D22" s="981">
        <v>50000</v>
      </c>
      <c r="E22" s="257"/>
      <c r="F22" s="1385" t="s">
        <v>1145</v>
      </c>
      <c r="G22" s="257"/>
      <c r="H22" s="1385"/>
      <c r="I22" s="1385"/>
      <c r="J22" s="1385"/>
      <c r="K22" s="1386" t="s">
        <v>746</v>
      </c>
      <c r="L22" s="647"/>
      <c r="M22" s="647"/>
      <c r="N22" s="647"/>
      <c r="O22" s="140"/>
      <c r="P22" s="140"/>
      <c r="X22"/>
      <c r="Y22"/>
      <c r="Z22"/>
      <c r="AA22"/>
      <c r="AB22"/>
      <c r="AC22"/>
      <c r="AD22" s="7"/>
      <c r="AE22" s="194"/>
      <c r="AF22" s="378"/>
      <c r="AG22" s="378"/>
      <c r="AH22" s="378"/>
      <c r="AI22" s="378"/>
      <c r="AJ22" s="799"/>
      <c r="AK22" s="799"/>
      <c r="AL22" s="799"/>
      <c r="AM22" s="799"/>
      <c r="AN22" s="799"/>
      <c r="AO22" s="799"/>
      <c r="AP22" s="799"/>
      <c r="AQ22" s="799"/>
      <c r="AR22" s="140"/>
      <c r="AS22" s="194"/>
      <c r="AT22" s="8"/>
      <c r="AU22" s="8"/>
      <c r="AV22" s="8"/>
      <c r="AW22" s="8"/>
      <c r="AX22" s="8"/>
      <c r="AZ22" s="7" t="s">
        <v>1072</v>
      </c>
      <c r="ER22" s="7" t="s">
        <v>1072</v>
      </c>
      <c r="ES22" s="1375"/>
      <c r="ET22" s="7" t="s">
        <v>1072</v>
      </c>
      <c r="EU22" s="1375"/>
      <c r="EV22" s="1375"/>
      <c r="EW22" s="1375"/>
      <c r="EX22" s="1375"/>
      <c r="EY22" s="1375"/>
      <c r="EZ22" s="1375"/>
      <c r="FA22" s="1375"/>
      <c r="FB22" s="1375"/>
      <c r="FC22" s="1375"/>
      <c r="FD22" s="1375"/>
      <c r="FE22" s="1375"/>
      <c r="FF22" s="1375"/>
      <c r="FG22" s="1375"/>
      <c r="FH22" s="1375"/>
      <c r="FI22" s="1375"/>
      <c r="FJ22" s="1375"/>
      <c r="FK22" s="1375"/>
      <c r="FL22" s="1375"/>
      <c r="FM22" s="1375"/>
      <c r="FN22" s="1375"/>
      <c r="FO22" s="1375"/>
      <c r="FP22" s="1375"/>
      <c r="FQ22" s="1375"/>
      <c r="FR22" s="1375"/>
      <c r="FS22" s="1375"/>
      <c r="FT22" s="1375"/>
      <c r="FU22" s="1375"/>
      <c r="FV22" s="1375"/>
      <c r="FW22" s="1375"/>
      <c r="FX22" s="1375"/>
      <c r="FY22" s="1375"/>
      <c r="FZ22" s="1375"/>
      <c r="GA22" s="1375"/>
      <c r="GB22" s="1375"/>
      <c r="GC22" s="1375"/>
      <c r="GD22" s="1375"/>
      <c r="GE22" s="1375"/>
      <c r="GF22" s="1375"/>
      <c r="GG22" s="1375"/>
      <c r="GH22" s="1375"/>
      <c r="GI22" s="1375"/>
      <c r="GJ22" s="1375"/>
      <c r="GK22" s="1375"/>
      <c r="GL22" s="1375"/>
      <c r="GM22" s="1375"/>
      <c r="GN22" s="1375"/>
      <c r="GO22" s="1375"/>
      <c r="GP22" s="1375"/>
      <c r="GQ22" s="1375"/>
      <c r="GR22" s="1375"/>
      <c r="GS22" s="1375"/>
      <c r="GT22" s="1375"/>
      <c r="GU22" s="1375"/>
      <c r="GV22" s="1375"/>
      <c r="GW22" s="1375"/>
      <c r="GX22" s="1375"/>
      <c r="GY22" s="1375"/>
      <c r="GZ22" s="1375"/>
      <c r="HA22" s="1375"/>
      <c r="HB22" s="1375"/>
      <c r="HC22" s="1375"/>
      <c r="HD22" s="7"/>
      <c r="JN22" s="140"/>
      <c r="JO22" s="140"/>
      <c r="JP22" s="140"/>
      <c r="JQ22" s="194"/>
      <c r="JR22" s="140"/>
      <c r="JS22" s="140"/>
      <c r="JT22" s="140"/>
      <c r="JU22" s="140"/>
      <c r="JV22" s="140"/>
      <c r="KG22" s="7" t="s">
        <v>1072</v>
      </c>
      <c r="KH22" s="7"/>
      <c r="KI22" s="7"/>
      <c r="KJ22" s="7"/>
      <c r="KK22" s="7"/>
      <c r="KL22" s="140"/>
      <c r="KM22" s="1029">
        <v>0</v>
      </c>
      <c r="KN22" s="1257">
        <v>0</v>
      </c>
      <c r="KO22" s="1257">
        <v>0</v>
      </c>
      <c r="KP22" s="1257">
        <v>0</v>
      </c>
      <c r="KQ22" s="1257">
        <v>0</v>
      </c>
      <c r="KR22" s="1257">
        <v>0</v>
      </c>
      <c r="KS22" s="1257">
        <v>0</v>
      </c>
      <c r="KT22" s="1257">
        <v>0</v>
      </c>
      <c r="KU22" s="1257">
        <v>1</v>
      </c>
      <c r="KV22" s="1257">
        <v>1</v>
      </c>
      <c r="KW22" s="1257">
        <v>1</v>
      </c>
      <c r="KX22" s="1257">
        <v>1</v>
      </c>
      <c r="KY22" s="1257">
        <v>1</v>
      </c>
      <c r="KZ22" s="1257">
        <v>1</v>
      </c>
      <c r="LA22" s="1257">
        <v>1</v>
      </c>
      <c r="LB22" s="1078">
        <v>1</v>
      </c>
      <c r="LC22" s="1029">
        <v>0</v>
      </c>
      <c r="LD22" s="1257">
        <v>0</v>
      </c>
      <c r="LE22" s="1257">
        <v>0</v>
      </c>
      <c r="LF22" s="1257">
        <v>0</v>
      </c>
      <c r="LG22" s="1257">
        <v>0</v>
      </c>
      <c r="LH22" s="1257">
        <v>0</v>
      </c>
      <c r="LI22" s="1257">
        <v>0</v>
      </c>
      <c r="LJ22" s="1257">
        <v>0</v>
      </c>
      <c r="LK22" s="1257">
        <v>1</v>
      </c>
      <c r="LL22" s="1257">
        <v>1</v>
      </c>
      <c r="LM22" s="1257">
        <v>1</v>
      </c>
      <c r="LN22" s="1257">
        <v>1</v>
      </c>
      <c r="LO22" s="1257">
        <v>1</v>
      </c>
      <c r="LP22" s="1257">
        <v>1</v>
      </c>
      <c r="LQ22" s="1257">
        <v>1</v>
      </c>
      <c r="LR22" s="1078">
        <v>1</v>
      </c>
      <c r="LS22" s="1029">
        <v>0</v>
      </c>
      <c r="LT22" s="1257">
        <v>0</v>
      </c>
      <c r="LU22" s="1257">
        <v>0</v>
      </c>
      <c r="LV22" s="1257">
        <v>0</v>
      </c>
      <c r="LW22" s="1257">
        <v>0</v>
      </c>
      <c r="LX22" s="1257">
        <v>0</v>
      </c>
      <c r="LY22" s="1257">
        <v>0</v>
      </c>
      <c r="LZ22" s="1257">
        <v>0</v>
      </c>
      <c r="MA22" s="1257">
        <v>1</v>
      </c>
      <c r="MB22" s="1257">
        <v>1</v>
      </c>
      <c r="MC22" s="1257">
        <v>1</v>
      </c>
      <c r="MD22" s="1257">
        <v>1</v>
      </c>
      <c r="ME22" s="1257">
        <v>1</v>
      </c>
      <c r="MF22" s="1257">
        <v>1</v>
      </c>
      <c r="MG22" s="1257">
        <v>1</v>
      </c>
      <c r="MH22" s="1078">
        <v>1</v>
      </c>
      <c r="MI22" s="1029">
        <v>0</v>
      </c>
      <c r="MJ22" s="1257">
        <v>0</v>
      </c>
      <c r="MK22" s="1257">
        <v>0</v>
      </c>
      <c r="ML22" s="1257">
        <v>0</v>
      </c>
      <c r="MM22" s="1257">
        <v>0</v>
      </c>
      <c r="MN22" s="1257">
        <v>0</v>
      </c>
      <c r="MO22" s="1257">
        <v>0</v>
      </c>
      <c r="MP22" s="1257">
        <v>0</v>
      </c>
      <c r="MQ22" s="1257">
        <v>1</v>
      </c>
      <c r="MR22" s="1257">
        <v>1</v>
      </c>
      <c r="MS22" s="1257">
        <v>1</v>
      </c>
      <c r="MT22" s="1257">
        <v>1</v>
      </c>
      <c r="MU22" s="1257">
        <v>1</v>
      </c>
      <c r="MV22" s="1257">
        <v>1</v>
      </c>
      <c r="MW22" s="1257">
        <v>1</v>
      </c>
      <c r="MX22" s="1078">
        <v>1</v>
      </c>
      <c r="MY22" s="1029">
        <v>0</v>
      </c>
      <c r="MZ22" s="1257">
        <v>0</v>
      </c>
      <c r="NA22" s="1257">
        <v>0</v>
      </c>
      <c r="NB22" s="1257">
        <v>0</v>
      </c>
      <c r="NC22" s="1257">
        <v>0</v>
      </c>
      <c r="ND22" s="1257">
        <v>0</v>
      </c>
      <c r="NE22" s="1257">
        <v>0</v>
      </c>
      <c r="NF22" s="1257">
        <v>0</v>
      </c>
      <c r="NG22" s="1257">
        <v>1</v>
      </c>
      <c r="NH22" s="1257">
        <v>1</v>
      </c>
      <c r="NI22" s="1257">
        <v>1</v>
      </c>
      <c r="NJ22" s="1257">
        <v>1</v>
      </c>
      <c r="NK22" s="1257">
        <v>1</v>
      </c>
      <c r="NL22" s="1257">
        <v>1</v>
      </c>
      <c r="NM22" s="1257">
        <v>1</v>
      </c>
      <c r="NN22" s="1078">
        <v>1</v>
      </c>
      <c r="NO22" s="1029">
        <v>0</v>
      </c>
      <c r="NP22" s="1257">
        <v>0</v>
      </c>
      <c r="NQ22" s="1257">
        <v>0</v>
      </c>
      <c r="NR22" s="1257">
        <v>0</v>
      </c>
      <c r="NS22" s="1257">
        <v>0</v>
      </c>
      <c r="NT22" s="1257">
        <v>0</v>
      </c>
      <c r="NU22" s="1257">
        <v>0</v>
      </c>
      <c r="NV22" s="1257">
        <v>0</v>
      </c>
      <c r="NW22" s="1257">
        <v>1</v>
      </c>
      <c r="NX22" s="1257">
        <v>1</v>
      </c>
      <c r="NY22" s="1257">
        <v>1</v>
      </c>
      <c r="NZ22" s="1257">
        <v>1</v>
      </c>
      <c r="OA22" s="1257">
        <v>1</v>
      </c>
      <c r="OB22" s="1257">
        <v>1</v>
      </c>
      <c r="OC22" s="1257">
        <v>1</v>
      </c>
      <c r="OD22" s="1078">
        <v>1</v>
      </c>
      <c r="OE22" s="1029">
        <v>0</v>
      </c>
      <c r="OF22" s="1257">
        <v>0</v>
      </c>
      <c r="OG22" s="1257">
        <v>0</v>
      </c>
      <c r="OH22" s="1257">
        <v>0</v>
      </c>
      <c r="OI22" s="1257">
        <v>0</v>
      </c>
      <c r="OJ22" s="1257">
        <v>0</v>
      </c>
      <c r="OK22" s="1257">
        <v>0</v>
      </c>
      <c r="OL22" s="1257">
        <v>0</v>
      </c>
      <c r="OM22" s="1257">
        <v>1</v>
      </c>
      <c r="ON22" s="1257">
        <v>1</v>
      </c>
      <c r="OO22" s="1257">
        <v>1</v>
      </c>
      <c r="OP22" s="1257">
        <v>1</v>
      </c>
      <c r="OQ22" s="1257">
        <v>1</v>
      </c>
      <c r="OR22" s="1257">
        <v>1</v>
      </c>
      <c r="OS22" s="1257">
        <v>1</v>
      </c>
      <c r="OT22" s="1078">
        <v>1</v>
      </c>
      <c r="OU22" s="1029">
        <v>0</v>
      </c>
      <c r="OV22" s="1257">
        <v>0</v>
      </c>
      <c r="OW22" s="1257">
        <v>0</v>
      </c>
      <c r="OX22" s="1257">
        <v>0</v>
      </c>
      <c r="OY22" s="1257">
        <v>0</v>
      </c>
      <c r="OZ22" s="1257">
        <v>0</v>
      </c>
      <c r="PA22" s="1257">
        <v>0</v>
      </c>
      <c r="PB22" s="1257">
        <v>0</v>
      </c>
      <c r="PC22" s="1257">
        <v>1</v>
      </c>
      <c r="PD22" s="1257">
        <v>1</v>
      </c>
      <c r="PE22" s="1257">
        <v>1</v>
      </c>
      <c r="PF22" s="1257">
        <v>1</v>
      </c>
      <c r="PG22" s="1257">
        <v>1</v>
      </c>
      <c r="PH22" s="1257">
        <v>1</v>
      </c>
      <c r="PI22" s="1257">
        <v>1</v>
      </c>
      <c r="PJ22" s="1078">
        <v>1</v>
      </c>
      <c r="PK22" s="1029">
        <v>0</v>
      </c>
      <c r="PL22" s="1257">
        <v>0</v>
      </c>
      <c r="PM22" s="1257">
        <v>0</v>
      </c>
      <c r="PN22" s="1257">
        <v>0</v>
      </c>
      <c r="PO22" s="1257">
        <v>0</v>
      </c>
      <c r="PP22" s="1257">
        <v>0</v>
      </c>
      <c r="PQ22" s="1257">
        <v>0</v>
      </c>
      <c r="PR22" s="1257">
        <v>0</v>
      </c>
      <c r="PS22" s="1257">
        <v>1</v>
      </c>
      <c r="PT22" s="1257">
        <v>1</v>
      </c>
      <c r="PU22" s="1257">
        <v>1</v>
      </c>
      <c r="PV22" s="1257">
        <v>1</v>
      </c>
      <c r="PW22" s="1257">
        <v>1</v>
      </c>
      <c r="PX22" s="1257">
        <v>1</v>
      </c>
      <c r="PY22" s="1257">
        <v>1</v>
      </c>
      <c r="PZ22" s="1078">
        <v>1</v>
      </c>
      <c r="QB22" s="33" t="s">
        <v>1072</v>
      </c>
    </row>
    <row r="23" spans="1:444" s="33" customFormat="1" x14ac:dyDescent="0.25">
      <c r="A23" s="26"/>
      <c r="B23" s="647"/>
      <c r="C23" s="1378"/>
      <c r="D23" s="647"/>
      <c r="E23" s="647"/>
      <c r="F23" s="647"/>
      <c r="G23" s="647"/>
      <c r="H23" s="647"/>
      <c r="I23" s="647"/>
      <c r="J23" s="647"/>
      <c r="K23" s="647"/>
      <c r="L23" s="647"/>
      <c r="M23" s="647"/>
      <c r="N23" s="647"/>
      <c r="O23" s="140"/>
      <c r="P23" s="140"/>
      <c r="X23"/>
      <c r="Y23"/>
      <c r="Z23"/>
      <c r="AA23"/>
      <c r="AB23"/>
      <c r="AC23"/>
      <c r="AD23" s="7"/>
      <c r="AE23" s="194"/>
      <c r="AF23" s="378"/>
      <c r="AG23" s="378"/>
      <c r="AH23" s="378"/>
      <c r="AI23" s="378"/>
      <c r="AJ23" s="799"/>
      <c r="AK23" s="799"/>
      <c r="AL23" s="799"/>
      <c r="AM23" s="799"/>
      <c r="AN23" s="799"/>
      <c r="AO23" s="799"/>
      <c r="AP23" s="799"/>
      <c r="AQ23" s="799"/>
      <c r="AR23" s="140"/>
      <c r="AS23" s="194"/>
      <c r="AT23" s="8"/>
      <c r="AU23" s="8"/>
      <c r="AV23" s="8"/>
      <c r="AW23" s="8"/>
      <c r="AX23" s="8"/>
      <c r="AZ23" s="7" t="s">
        <v>1072</v>
      </c>
      <c r="ER23" s="7" t="s">
        <v>1072</v>
      </c>
      <c r="ES23" s="1375"/>
      <c r="ET23" s="7" t="s">
        <v>1072</v>
      </c>
      <c r="EU23" s="1375"/>
      <c r="EV23" s="1375"/>
      <c r="EW23" s="1375"/>
      <c r="EX23" s="1375"/>
      <c r="EY23" s="1375"/>
      <c r="EZ23" s="1375"/>
      <c r="FA23" s="1375"/>
      <c r="FB23" s="1375"/>
      <c r="FC23" s="1375"/>
      <c r="FD23" s="1375"/>
      <c r="FE23" s="1375"/>
      <c r="FF23" s="1375"/>
      <c r="FG23" s="1375"/>
      <c r="FH23" s="1375"/>
      <c r="FI23" s="1375"/>
      <c r="FJ23" s="1375"/>
      <c r="FK23" s="1375"/>
      <c r="FL23" s="1375"/>
      <c r="FM23" s="1375"/>
      <c r="FN23" s="1375"/>
      <c r="FO23" s="1375"/>
      <c r="FP23" s="1375"/>
      <c r="FQ23" s="1375"/>
      <c r="FR23" s="1375"/>
      <c r="FS23" s="1375"/>
      <c r="FT23" s="1375"/>
      <c r="FU23" s="1375"/>
      <c r="FV23" s="1375"/>
      <c r="FW23" s="1375"/>
      <c r="FX23" s="1375"/>
      <c r="FY23" s="1375"/>
      <c r="FZ23" s="1375"/>
      <c r="GA23" s="1375"/>
      <c r="GB23" s="1375"/>
      <c r="GC23" s="1375"/>
      <c r="GD23" s="1375"/>
      <c r="GE23" s="1375"/>
      <c r="GF23" s="1375"/>
      <c r="GG23" s="1375"/>
      <c r="GH23" s="1375"/>
      <c r="GI23" s="1375"/>
      <c r="GJ23" s="1375"/>
      <c r="GK23" s="1375"/>
      <c r="GL23" s="1375"/>
      <c r="GM23" s="1375"/>
      <c r="GN23" s="1375"/>
      <c r="GO23" s="1375"/>
      <c r="GP23" s="1375"/>
      <c r="GQ23" s="1375"/>
      <c r="GR23" s="1375"/>
      <c r="GS23" s="1375"/>
      <c r="GT23" s="1375"/>
      <c r="GU23" s="1375"/>
      <c r="GV23" s="1375"/>
      <c r="GW23" s="1375"/>
      <c r="GX23" s="1375"/>
      <c r="GY23" s="1375"/>
      <c r="GZ23" s="1375"/>
      <c r="HA23" s="1375"/>
      <c r="HB23" s="1375"/>
      <c r="HC23" s="1375"/>
      <c r="HD23" s="7"/>
      <c r="JN23" s="140"/>
      <c r="JO23" s="140"/>
      <c r="JP23" s="140"/>
      <c r="JQ23" s="194"/>
      <c r="JR23" s="140"/>
      <c r="JS23" s="140"/>
      <c r="JT23" s="140"/>
      <c r="JU23" s="140"/>
      <c r="JV23" s="140"/>
      <c r="KG23" s="7" t="s">
        <v>1072</v>
      </c>
      <c r="KH23" s="7"/>
      <c r="KI23" s="7"/>
      <c r="KJ23" s="7"/>
      <c r="KK23" s="7"/>
      <c r="KL23" s="140"/>
      <c r="KM23" s="7" t="s">
        <v>1072</v>
      </c>
      <c r="QB23" s="33" t="s">
        <v>1072</v>
      </c>
    </row>
    <row r="24" spans="1:444" s="33" customFormat="1" x14ac:dyDescent="0.25">
      <c r="A24" s="26"/>
      <c r="B24" s="1379" t="s">
        <v>899</v>
      </c>
      <c r="C24" s="1380" t="s">
        <v>1243</v>
      </c>
      <c r="D24" s="1380"/>
      <c r="E24" s="1380"/>
      <c r="F24" s="1380"/>
      <c r="G24" s="1380"/>
      <c r="H24" s="1380"/>
      <c r="I24" s="1380"/>
      <c r="J24" s="264"/>
      <c r="K24" s="259"/>
      <c r="L24" s="647"/>
      <c r="M24" s="647"/>
      <c r="N24" s="647"/>
      <c r="O24" s="140"/>
      <c r="P24" s="140"/>
      <c r="X24"/>
      <c r="Y24"/>
      <c r="Z24"/>
      <c r="AA24"/>
      <c r="AB24"/>
      <c r="AC24"/>
      <c r="AD24" s="7"/>
      <c r="AE24" s="194"/>
      <c r="AF24" s="378"/>
      <c r="AG24" s="378"/>
      <c r="AH24" s="378"/>
      <c r="AI24" s="378"/>
      <c r="AJ24" s="799"/>
      <c r="AK24" s="799"/>
      <c r="AL24" s="799"/>
      <c r="AM24" s="799"/>
      <c r="AN24" s="799"/>
      <c r="AO24" s="799"/>
      <c r="AP24" s="799"/>
      <c r="AQ24" s="799"/>
      <c r="AR24" s="140"/>
      <c r="AS24" s="194"/>
      <c r="AT24" s="8"/>
      <c r="AU24" s="8"/>
      <c r="AV24" s="8"/>
      <c r="AW24" s="8"/>
      <c r="AX24" s="8"/>
      <c r="AZ24" s="7" t="s">
        <v>1072</v>
      </c>
      <c r="ER24" s="7" t="s">
        <v>1072</v>
      </c>
      <c r="ES24" s="1375"/>
      <c r="ET24" s="7" t="s">
        <v>1072</v>
      </c>
      <c r="EU24" s="1375"/>
      <c r="EV24" s="1375"/>
      <c r="EW24" s="1375"/>
      <c r="EX24" s="1375"/>
      <c r="EY24" s="1375"/>
      <c r="EZ24" s="1375"/>
      <c r="FA24" s="1375"/>
      <c r="FB24" s="1375"/>
      <c r="FC24" s="1375"/>
      <c r="FD24" s="1375"/>
      <c r="FE24" s="1375"/>
      <c r="FF24" s="1375"/>
      <c r="FG24" s="1375"/>
      <c r="FH24" s="1375"/>
      <c r="FI24" s="1375"/>
      <c r="FJ24" s="1375"/>
      <c r="FK24" s="1375"/>
      <c r="FL24" s="1375"/>
      <c r="FM24" s="1375"/>
      <c r="FN24" s="1375"/>
      <c r="FO24" s="1375"/>
      <c r="FP24" s="1375"/>
      <c r="FQ24" s="1375"/>
      <c r="FR24" s="1375"/>
      <c r="FS24" s="1375"/>
      <c r="FT24" s="1375"/>
      <c r="FU24" s="1375"/>
      <c r="FV24" s="1375"/>
      <c r="FW24" s="1375"/>
      <c r="FX24" s="1375"/>
      <c r="FY24" s="1375"/>
      <c r="FZ24" s="1375"/>
      <c r="GA24" s="1375"/>
      <c r="GB24" s="1375"/>
      <c r="GC24" s="1375"/>
      <c r="GD24" s="1375"/>
      <c r="GE24" s="1375"/>
      <c r="GF24" s="1375"/>
      <c r="GG24" s="1375"/>
      <c r="GH24" s="1375"/>
      <c r="GI24" s="1375"/>
      <c r="GJ24" s="1375"/>
      <c r="GK24" s="1375"/>
      <c r="GL24" s="1375"/>
      <c r="GM24" s="1375"/>
      <c r="GN24" s="1375"/>
      <c r="GO24" s="1375"/>
      <c r="GP24" s="1375"/>
      <c r="GQ24" s="1375"/>
      <c r="GR24" s="1375"/>
      <c r="GS24" s="1375"/>
      <c r="GT24" s="1375"/>
      <c r="GU24" s="1375"/>
      <c r="GV24" s="1375"/>
      <c r="GW24" s="1375"/>
      <c r="GX24" s="1375"/>
      <c r="GY24" s="1375"/>
      <c r="GZ24" s="1375"/>
      <c r="HA24" s="1375"/>
      <c r="HB24" s="1375"/>
      <c r="HC24" s="1375"/>
      <c r="HD24" s="7"/>
      <c r="JN24" s="140"/>
      <c r="JO24" s="140"/>
      <c r="JP24" s="140"/>
      <c r="JQ24" s="194"/>
      <c r="JR24" s="140"/>
      <c r="JS24" s="140"/>
      <c r="JT24" s="140"/>
      <c r="JU24" s="140"/>
      <c r="JV24" s="140"/>
      <c r="KG24" s="7" t="s">
        <v>1072</v>
      </c>
      <c r="KH24" s="7"/>
      <c r="KI24" s="7"/>
      <c r="KJ24" s="7"/>
      <c r="KK24" s="7"/>
      <c r="KL24" s="140"/>
      <c r="KM24" s="1255">
        <f>ABS(KM19-1)</f>
        <v>1</v>
      </c>
      <c r="KN24" s="1258">
        <f t="shared" ref="KN24:MY24" si="0">ABS(KN19-1)</f>
        <v>0</v>
      </c>
      <c r="KO24" s="1258">
        <f t="shared" si="0"/>
        <v>1</v>
      </c>
      <c r="KP24" s="1258">
        <f t="shared" si="0"/>
        <v>0</v>
      </c>
      <c r="KQ24" s="1258">
        <f t="shared" si="0"/>
        <v>1</v>
      </c>
      <c r="KR24" s="1258">
        <f t="shared" si="0"/>
        <v>0</v>
      </c>
      <c r="KS24" s="1258">
        <f t="shared" si="0"/>
        <v>1</v>
      </c>
      <c r="KT24" s="1258">
        <f t="shared" si="0"/>
        <v>0</v>
      </c>
      <c r="KU24" s="1258">
        <f t="shared" si="0"/>
        <v>1</v>
      </c>
      <c r="KV24" s="1258">
        <f t="shared" si="0"/>
        <v>0</v>
      </c>
      <c r="KW24" s="1258">
        <f t="shared" si="0"/>
        <v>1</v>
      </c>
      <c r="KX24" s="1258">
        <f t="shared" si="0"/>
        <v>0</v>
      </c>
      <c r="KY24" s="1258">
        <f t="shared" si="0"/>
        <v>1</v>
      </c>
      <c r="KZ24" s="1258">
        <f t="shared" si="0"/>
        <v>0</v>
      </c>
      <c r="LA24" s="1258">
        <f t="shared" si="0"/>
        <v>1</v>
      </c>
      <c r="LB24" s="1256">
        <f t="shared" si="0"/>
        <v>0</v>
      </c>
      <c r="LC24" s="1255">
        <f t="shared" si="0"/>
        <v>1</v>
      </c>
      <c r="LD24" s="1258">
        <f t="shared" si="0"/>
        <v>0</v>
      </c>
      <c r="LE24" s="1258">
        <f t="shared" si="0"/>
        <v>1</v>
      </c>
      <c r="LF24" s="1258">
        <f t="shared" si="0"/>
        <v>0</v>
      </c>
      <c r="LG24" s="1258">
        <f t="shared" si="0"/>
        <v>1</v>
      </c>
      <c r="LH24" s="1258">
        <f t="shared" si="0"/>
        <v>0</v>
      </c>
      <c r="LI24" s="1258">
        <f t="shared" si="0"/>
        <v>1</v>
      </c>
      <c r="LJ24" s="1258">
        <f t="shared" si="0"/>
        <v>0</v>
      </c>
      <c r="LK24" s="1258">
        <f t="shared" si="0"/>
        <v>1</v>
      </c>
      <c r="LL24" s="1258">
        <f t="shared" si="0"/>
        <v>0</v>
      </c>
      <c r="LM24" s="1258">
        <f t="shared" si="0"/>
        <v>1</v>
      </c>
      <c r="LN24" s="1258">
        <f t="shared" si="0"/>
        <v>0</v>
      </c>
      <c r="LO24" s="1258">
        <f t="shared" si="0"/>
        <v>1</v>
      </c>
      <c r="LP24" s="1258">
        <f t="shared" si="0"/>
        <v>0</v>
      </c>
      <c r="LQ24" s="1258">
        <f t="shared" si="0"/>
        <v>1</v>
      </c>
      <c r="LR24" s="1256">
        <f t="shared" si="0"/>
        <v>0</v>
      </c>
      <c r="LS24" s="1255">
        <f t="shared" si="0"/>
        <v>1</v>
      </c>
      <c r="LT24" s="1258">
        <f t="shared" si="0"/>
        <v>0</v>
      </c>
      <c r="LU24" s="1258">
        <f t="shared" si="0"/>
        <v>1</v>
      </c>
      <c r="LV24" s="1258">
        <f t="shared" si="0"/>
        <v>0</v>
      </c>
      <c r="LW24" s="1258">
        <f t="shared" si="0"/>
        <v>1</v>
      </c>
      <c r="LX24" s="1258">
        <f t="shared" si="0"/>
        <v>0</v>
      </c>
      <c r="LY24" s="1258">
        <f t="shared" si="0"/>
        <v>1</v>
      </c>
      <c r="LZ24" s="1258">
        <f t="shared" si="0"/>
        <v>0</v>
      </c>
      <c r="MA24" s="1258">
        <f t="shared" si="0"/>
        <v>1</v>
      </c>
      <c r="MB24" s="1258">
        <f t="shared" si="0"/>
        <v>0</v>
      </c>
      <c r="MC24" s="1258">
        <f t="shared" si="0"/>
        <v>1</v>
      </c>
      <c r="MD24" s="1258">
        <f t="shared" si="0"/>
        <v>0</v>
      </c>
      <c r="ME24" s="1258">
        <f t="shared" si="0"/>
        <v>1</v>
      </c>
      <c r="MF24" s="1258">
        <f t="shared" si="0"/>
        <v>0</v>
      </c>
      <c r="MG24" s="1258">
        <f t="shared" si="0"/>
        <v>1</v>
      </c>
      <c r="MH24" s="1256">
        <f t="shared" si="0"/>
        <v>0</v>
      </c>
      <c r="MI24" s="1255">
        <f t="shared" si="0"/>
        <v>1</v>
      </c>
      <c r="MJ24" s="1258">
        <f t="shared" si="0"/>
        <v>0</v>
      </c>
      <c r="MK24" s="1258">
        <f t="shared" si="0"/>
        <v>1</v>
      </c>
      <c r="ML24" s="1258">
        <f t="shared" si="0"/>
        <v>0</v>
      </c>
      <c r="MM24" s="1258">
        <f t="shared" si="0"/>
        <v>1</v>
      </c>
      <c r="MN24" s="1258">
        <f t="shared" si="0"/>
        <v>0</v>
      </c>
      <c r="MO24" s="1258">
        <f t="shared" si="0"/>
        <v>1</v>
      </c>
      <c r="MP24" s="1258">
        <f t="shared" si="0"/>
        <v>0</v>
      </c>
      <c r="MQ24" s="1258">
        <f t="shared" si="0"/>
        <v>1</v>
      </c>
      <c r="MR24" s="1258">
        <f t="shared" si="0"/>
        <v>0</v>
      </c>
      <c r="MS24" s="1258">
        <f t="shared" si="0"/>
        <v>1</v>
      </c>
      <c r="MT24" s="1258">
        <f t="shared" si="0"/>
        <v>0</v>
      </c>
      <c r="MU24" s="1258">
        <f t="shared" si="0"/>
        <v>1</v>
      </c>
      <c r="MV24" s="1258">
        <f t="shared" si="0"/>
        <v>0</v>
      </c>
      <c r="MW24" s="1258">
        <f t="shared" si="0"/>
        <v>1</v>
      </c>
      <c r="MX24" s="1256">
        <f t="shared" si="0"/>
        <v>0</v>
      </c>
      <c r="MY24" s="1255">
        <f t="shared" si="0"/>
        <v>1</v>
      </c>
      <c r="MZ24" s="1258">
        <f t="shared" ref="MZ24:PK24" si="1">ABS(MZ19-1)</f>
        <v>0</v>
      </c>
      <c r="NA24" s="1258">
        <f t="shared" si="1"/>
        <v>1</v>
      </c>
      <c r="NB24" s="1258">
        <f t="shared" si="1"/>
        <v>0</v>
      </c>
      <c r="NC24" s="1258">
        <f t="shared" si="1"/>
        <v>1</v>
      </c>
      <c r="ND24" s="1258">
        <f t="shared" si="1"/>
        <v>0</v>
      </c>
      <c r="NE24" s="1258">
        <f t="shared" si="1"/>
        <v>1</v>
      </c>
      <c r="NF24" s="1258">
        <f t="shared" si="1"/>
        <v>0</v>
      </c>
      <c r="NG24" s="1258">
        <f t="shared" si="1"/>
        <v>1</v>
      </c>
      <c r="NH24" s="1258">
        <f t="shared" si="1"/>
        <v>0</v>
      </c>
      <c r="NI24" s="1258">
        <f t="shared" si="1"/>
        <v>1</v>
      </c>
      <c r="NJ24" s="1258">
        <f t="shared" si="1"/>
        <v>0</v>
      </c>
      <c r="NK24" s="1258">
        <f t="shared" si="1"/>
        <v>1</v>
      </c>
      <c r="NL24" s="1258">
        <f t="shared" si="1"/>
        <v>0</v>
      </c>
      <c r="NM24" s="1258">
        <f t="shared" si="1"/>
        <v>1</v>
      </c>
      <c r="NN24" s="1256">
        <f t="shared" si="1"/>
        <v>0</v>
      </c>
      <c r="NO24" s="1255">
        <f t="shared" si="1"/>
        <v>1</v>
      </c>
      <c r="NP24" s="1258">
        <f t="shared" si="1"/>
        <v>0</v>
      </c>
      <c r="NQ24" s="1258">
        <f t="shared" si="1"/>
        <v>1</v>
      </c>
      <c r="NR24" s="1258">
        <f t="shared" si="1"/>
        <v>0</v>
      </c>
      <c r="NS24" s="1258">
        <f t="shared" si="1"/>
        <v>1</v>
      </c>
      <c r="NT24" s="1258">
        <f t="shared" si="1"/>
        <v>0</v>
      </c>
      <c r="NU24" s="1258">
        <f t="shared" si="1"/>
        <v>1</v>
      </c>
      <c r="NV24" s="1258">
        <f t="shared" si="1"/>
        <v>0</v>
      </c>
      <c r="NW24" s="1258">
        <f t="shared" si="1"/>
        <v>1</v>
      </c>
      <c r="NX24" s="1258">
        <f t="shared" si="1"/>
        <v>0</v>
      </c>
      <c r="NY24" s="1258">
        <f t="shared" si="1"/>
        <v>1</v>
      </c>
      <c r="NZ24" s="1258">
        <f t="shared" si="1"/>
        <v>0</v>
      </c>
      <c r="OA24" s="1258">
        <f t="shared" si="1"/>
        <v>1</v>
      </c>
      <c r="OB24" s="1258">
        <f t="shared" si="1"/>
        <v>0</v>
      </c>
      <c r="OC24" s="1258">
        <f t="shared" si="1"/>
        <v>1</v>
      </c>
      <c r="OD24" s="1256">
        <f t="shared" si="1"/>
        <v>0</v>
      </c>
      <c r="OE24" s="1255">
        <f t="shared" si="1"/>
        <v>1</v>
      </c>
      <c r="OF24" s="1258">
        <f t="shared" si="1"/>
        <v>0</v>
      </c>
      <c r="OG24" s="1258">
        <f t="shared" si="1"/>
        <v>1</v>
      </c>
      <c r="OH24" s="1258">
        <f t="shared" si="1"/>
        <v>0</v>
      </c>
      <c r="OI24" s="1258">
        <f t="shared" si="1"/>
        <v>1</v>
      </c>
      <c r="OJ24" s="1258">
        <f t="shared" si="1"/>
        <v>0</v>
      </c>
      <c r="OK24" s="1258">
        <f t="shared" si="1"/>
        <v>1</v>
      </c>
      <c r="OL24" s="1258">
        <f t="shared" si="1"/>
        <v>0</v>
      </c>
      <c r="OM24" s="1258">
        <f t="shared" si="1"/>
        <v>1</v>
      </c>
      <c r="ON24" s="1258">
        <f t="shared" si="1"/>
        <v>0</v>
      </c>
      <c r="OO24" s="1258">
        <f t="shared" si="1"/>
        <v>1</v>
      </c>
      <c r="OP24" s="1258">
        <f t="shared" si="1"/>
        <v>0</v>
      </c>
      <c r="OQ24" s="1258">
        <f t="shared" si="1"/>
        <v>1</v>
      </c>
      <c r="OR24" s="1258">
        <f t="shared" si="1"/>
        <v>0</v>
      </c>
      <c r="OS24" s="1258">
        <f t="shared" si="1"/>
        <v>1</v>
      </c>
      <c r="OT24" s="1256">
        <f t="shared" si="1"/>
        <v>0</v>
      </c>
      <c r="OU24" s="1255">
        <f t="shared" si="1"/>
        <v>1</v>
      </c>
      <c r="OV24" s="1258">
        <f t="shared" si="1"/>
        <v>0</v>
      </c>
      <c r="OW24" s="1258">
        <f t="shared" si="1"/>
        <v>1</v>
      </c>
      <c r="OX24" s="1258">
        <f t="shared" si="1"/>
        <v>0</v>
      </c>
      <c r="OY24" s="1258">
        <f t="shared" si="1"/>
        <v>1</v>
      </c>
      <c r="OZ24" s="1258">
        <f t="shared" si="1"/>
        <v>0</v>
      </c>
      <c r="PA24" s="1258">
        <f t="shared" si="1"/>
        <v>1</v>
      </c>
      <c r="PB24" s="1258">
        <f t="shared" si="1"/>
        <v>0</v>
      </c>
      <c r="PC24" s="1258">
        <f t="shared" si="1"/>
        <v>1</v>
      </c>
      <c r="PD24" s="1258">
        <f t="shared" si="1"/>
        <v>0</v>
      </c>
      <c r="PE24" s="1258">
        <f t="shared" si="1"/>
        <v>1</v>
      </c>
      <c r="PF24" s="1258">
        <f t="shared" si="1"/>
        <v>0</v>
      </c>
      <c r="PG24" s="1258">
        <f t="shared" si="1"/>
        <v>1</v>
      </c>
      <c r="PH24" s="1258">
        <f t="shared" si="1"/>
        <v>0</v>
      </c>
      <c r="PI24" s="1258">
        <f t="shared" si="1"/>
        <v>1</v>
      </c>
      <c r="PJ24" s="1256">
        <f t="shared" si="1"/>
        <v>0</v>
      </c>
      <c r="PK24" s="1255">
        <f t="shared" si="1"/>
        <v>1</v>
      </c>
      <c r="PL24" s="1258">
        <f t="shared" ref="PL24:PZ24" si="2">ABS(PL19-1)</f>
        <v>0</v>
      </c>
      <c r="PM24" s="1258">
        <f t="shared" si="2"/>
        <v>1</v>
      </c>
      <c r="PN24" s="1258">
        <f t="shared" si="2"/>
        <v>0</v>
      </c>
      <c r="PO24" s="1258">
        <f t="shared" si="2"/>
        <v>1</v>
      </c>
      <c r="PP24" s="1258">
        <f t="shared" si="2"/>
        <v>0</v>
      </c>
      <c r="PQ24" s="1258">
        <f t="shared" si="2"/>
        <v>1</v>
      </c>
      <c r="PR24" s="1258">
        <f t="shared" si="2"/>
        <v>0</v>
      </c>
      <c r="PS24" s="1258">
        <f t="shared" si="2"/>
        <v>1</v>
      </c>
      <c r="PT24" s="1258">
        <f t="shared" si="2"/>
        <v>0</v>
      </c>
      <c r="PU24" s="1258">
        <f t="shared" si="2"/>
        <v>1</v>
      </c>
      <c r="PV24" s="1258">
        <f t="shared" si="2"/>
        <v>0</v>
      </c>
      <c r="PW24" s="1258">
        <f t="shared" si="2"/>
        <v>1</v>
      </c>
      <c r="PX24" s="1258">
        <f t="shared" si="2"/>
        <v>0</v>
      </c>
      <c r="PY24" s="1258">
        <f t="shared" si="2"/>
        <v>1</v>
      </c>
      <c r="PZ24" s="1256">
        <f t="shared" si="2"/>
        <v>0</v>
      </c>
      <c r="QB24" s="33" t="s">
        <v>1072</v>
      </c>
    </row>
    <row r="25" spans="1:444" s="33" customFormat="1" x14ac:dyDescent="0.25">
      <c r="A25" s="26"/>
      <c r="B25" s="1382"/>
      <c r="C25" s="647"/>
      <c r="D25" s="1075" t="s">
        <v>902</v>
      </c>
      <c r="E25" s="647"/>
      <c r="F25" s="647" t="s">
        <v>900</v>
      </c>
      <c r="G25" s="647"/>
      <c r="I25" s="647"/>
      <c r="J25" s="647"/>
      <c r="K25" s="1383"/>
      <c r="L25" s="647"/>
      <c r="M25" s="647"/>
      <c r="N25" s="647"/>
      <c r="O25" s="140"/>
      <c r="P25" s="140"/>
      <c r="X25"/>
      <c r="Y25"/>
      <c r="Z25"/>
      <c r="AA25"/>
      <c r="AB25"/>
      <c r="AC25"/>
      <c r="AD25" s="7"/>
      <c r="AE25" s="194"/>
      <c r="AF25" s="378"/>
      <c r="AG25" s="378"/>
      <c r="AH25" s="378"/>
      <c r="AI25" s="378"/>
      <c r="AJ25" s="799"/>
      <c r="AK25" s="799"/>
      <c r="AL25" s="799"/>
      <c r="AM25" s="799"/>
      <c r="AN25" s="799"/>
      <c r="AO25" s="799"/>
      <c r="AP25" s="799"/>
      <c r="AQ25" s="799"/>
      <c r="AR25" s="140"/>
      <c r="AS25" s="194"/>
      <c r="AT25" s="8"/>
      <c r="AU25" s="8"/>
      <c r="AV25" s="8"/>
      <c r="AW25" s="8"/>
      <c r="AX25" s="8"/>
      <c r="AZ25" s="7" t="s">
        <v>1072</v>
      </c>
      <c r="ER25" s="7" t="s">
        <v>1072</v>
      </c>
      <c r="ES25" s="1375"/>
      <c r="ET25" s="7" t="s">
        <v>1072</v>
      </c>
      <c r="EU25" s="1375"/>
      <c r="EV25" s="1375"/>
      <c r="EW25" s="1375"/>
      <c r="EX25" s="1375"/>
      <c r="EY25" s="1375"/>
      <c r="EZ25" s="1375"/>
      <c r="FA25" s="1375"/>
      <c r="FB25" s="1375"/>
      <c r="FC25" s="1375"/>
      <c r="FD25" s="1375"/>
      <c r="FE25" s="1375"/>
      <c r="FF25" s="1375"/>
      <c r="FG25" s="1375"/>
      <c r="FH25" s="1375"/>
      <c r="FI25" s="1375"/>
      <c r="FJ25" s="1375"/>
      <c r="FK25" s="1375"/>
      <c r="FL25" s="1375"/>
      <c r="FM25" s="1375"/>
      <c r="FN25" s="1375"/>
      <c r="FO25" s="1375"/>
      <c r="FP25" s="1375"/>
      <c r="FQ25" s="1375"/>
      <c r="FR25" s="1375"/>
      <c r="FS25" s="1375"/>
      <c r="FT25" s="1375"/>
      <c r="FU25" s="1375"/>
      <c r="FV25" s="1375"/>
      <c r="FW25" s="1375"/>
      <c r="FX25" s="1375"/>
      <c r="FY25" s="1375"/>
      <c r="FZ25" s="1375"/>
      <c r="GA25" s="1375"/>
      <c r="GB25" s="1375"/>
      <c r="GC25" s="1375"/>
      <c r="GD25" s="1375"/>
      <c r="GE25" s="1375"/>
      <c r="GF25" s="1375"/>
      <c r="GG25" s="1375"/>
      <c r="GH25" s="1375"/>
      <c r="GI25" s="1375"/>
      <c r="GJ25" s="1375"/>
      <c r="GK25" s="1375"/>
      <c r="GL25" s="1375"/>
      <c r="GM25" s="1375"/>
      <c r="GN25" s="1375"/>
      <c r="GO25" s="1375"/>
      <c r="GP25" s="1375"/>
      <c r="GQ25" s="1375"/>
      <c r="GR25" s="1375"/>
      <c r="GS25" s="1375"/>
      <c r="GT25" s="1375"/>
      <c r="GU25" s="1375"/>
      <c r="GV25" s="1375"/>
      <c r="GW25" s="1375"/>
      <c r="GX25" s="1375"/>
      <c r="GY25" s="1375"/>
      <c r="GZ25" s="1375"/>
      <c r="HA25" s="1375"/>
      <c r="HB25" s="1375"/>
      <c r="HC25" s="1375"/>
      <c r="HD25" s="7"/>
      <c r="JN25" s="140"/>
      <c r="JO25" s="140"/>
      <c r="JP25" s="140"/>
      <c r="JQ25" s="194"/>
      <c r="JR25" s="140"/>
      <c r="JS25" s="140"/>
      <c r="JT25" s="140"/>
      <c r="JU25" s="140"/>
      <c r="JV25" s="140"/>
      <c r="KG25" s="7" t="s">
        <v>1072</v>
      </c>
      <c r="KH25" s="7"/>
      <c r="KI25" s="7"/>
      <c r="KJ25" s="7"/>
      <c r="KK25" s="7"/>
      <c r="KL25" s="140"/>
      <c r="KM25" s="1253">
        <f t="shared" ref="KM25:MX25" si="3">ABS(KM20-1)</f>
        <v>1</v>
      </c>
      <c r="KN25" s="1251">
        <f t="shared" si="3"/>
        <v>1</v>
      </c>
      <c r="KO25" s="1251">
        <f t="shared" si="3"/>
        <v>0</v>
      </c>
      <c r="KP25" s="1251">
        <f t="shared" si="3"/>
        <v>0</v>
      </c>
      <c r="KQ25" s="1251">
        <f t="shared" si="3"/>
        <v>1</v>
      </c>
      <c r="KR25" s="1251">
        <f t="shared" si="3"/>
        <v>1</v>
      </c>
      <c r="KS25" s="1251">
        <f t="shared" si="3"/>
        <v>0</v>
      </c>
      <c r="KT25" s="1251">
        <f t="shared" si="3"/>
        <v>0</v>
      </c>
      <c r="KU25" s="1251">
        <f t="shared" si="3"/>
        <v>1</v>
      </c>
      <c r="KV25" s="1251">
        <f t="shared" si="3"/>
        <v>1</v>
      </c>
      <c r="KW25" s="1251">
        <f t="shared" si="3"/>
        <v>0</v>
      </c>
      <c r="KX25" s="1251">
        <f t="shared" si="3"/>
        <v>0</v>
      </c>
      <c r="KY25" s="1251">
        <f t="shared" si="3"/>
        <v>1</v>
      </c>
      <c r="KZ25" s="1251">
        <f t="shared" si="3"/>
        <v>1</v>
      </c>
      <c r="LA25" s="1251">
        <f t="shared" si="3"/>
        <v>0</v>
      </c>
      <c r="LB25" s="1252">
        <f t="shared" si="3"/>
        <v>0</v>
      </c>
      <c r="LC25" s="1253">
        <f t="shared" si="3"/>
        <v>1</v>
      </c>
      <c r="LD25" s="1251">
        <f t="shared" si="3"/>
        <v>1</v>
      </c>
      <c r="LE25" s="1251">
        <f t="shared" si="3"/>
        <v>0</v>
      </c>
      <c r="LF25" s="1251">
        <f t="shared" si="3"/>
        <v>0</v>
      </c>
      <c r="LG25" s="1251">
        <f t="shared" si="3"/>
        <v>1</v>
      </c>
      <c r="LH25" s="1251">
        <f t="shared" si="3"/>
        <v>1</v>
      </c>
      <c r="LI25" s="1251">
        <f t="shared" si="3"/>
        <v>0</v>
      </c>
      <c r="LJ25" s="1251">
        <f t="shared" si="3"/>
        <v>0</v>
      </c>
      <c r="LK25" s="1251">
        <f t="shared" si="3"/>
        <v>1</v>
      </c>
      <c r="LL25" s="1251">
        <f t="shared" si="3"/>
        <v>1</v>
      </c>
      <c r="LM25" s="1251">
        <f t="shared" si="3"/>
        <v>0</v>
      </c>
      <c r="LN25" s="1251">
        <f t="shared" si="3"/>
        <v>0</v>
      </c>
      <c r="LO25" s="1251">
        <f t="shared" si="3"/>
        <v>1</v>
      </c>
      <c r="LP25" s="1251">
        <f t="shared" si="3"/>
        <v>1</v>
      </c>
      <c r="LQ25" s="1251">
        <f t="shared" si="3"/>
        <v>0</v>
      </c>
      <c r="LR25" s="1252">
        <f t="shared" si="3"/>
        <v>0</v>
      </c>
      <c r="LS25" s="1253">
        <f t="shared" si="3"/>
        <v>1</v>
      </c>
      <c r="LT25" s="1251">
        <f t="shared" si="3"/>
        <v>1</v>
      </c>
      <c r="LU25" s="1251">
        <f t="shared" si="3"/>
        <v>0</v>
      </c>
      <c r="LV25" s="1251">
        <f t="shared" si="3"/>
        <v>0</v>
      </c>
      <c r="LW25" s="1251">
        <f t="shared" si="3"/>
        <v>1</v>
      </c>
      <c r="LX25" s="1251">
        <f t="shared" si="3"/>
        <v>1</v>
      </c>
      <c r="LY25" s="1251">
        <f t="shared" si="3"/>
        <v>0</v>
      </c>
      <c r="LZ25" s="1251">
        <f t="shared" si="3"/>
        <v>0</v>
      </c>
      <c r="MA25" s="1251">
        <f t="shared" si="3"/>
        <v>1</v>
      </c>
      <c r="MB25" s="1251">
        <f t="shared" si="3"/>
        <v>1</v>
      </c>
      <c r="MC25" s="1251">
        <f t="shared" si="3"/>
        <v>0</v>
      </c>
      <c r="MD25" s="1251">
        <f t="shared" si="3"/>
        <v>0</v>
      </c>
      <c r="ME25" s="1251">
        <f t="shared" si="3"/>
        <v>1</v>
      </c>
      <c r="MF25" s="1251">
        <f t="shared" si="3"/>
        <v>1</v>
      </c>
      <c r="MG25" s="1251">
        <f t="shared" si="3"/>
        <v>0</v>
      </c>
      <c r="MH25" s="1252">
        <f t="shared" si="3"/>
        <v>0</v>
      </c>
      <c r="MI25" s="1253">
        <f t="shared" si="3"/>
        <v>1</v>
      </c>
      <c r="MJ25" s="1251">
        <f t="shared" si="3"/>
        <v>1</v>
      </c>
      <c r="MK25" s="1251">
        <f t="shared" si="3"/>
        <v>0</v>
      </c>
      <c r="ML25" s="1251">
        <f t="shared" si="3"/>
        <v>0</v>
      </c>
      <c r="MM25" s="1251">
        <f t="shared" si="3"/>
        <v>1</v>
      </c>
      <c r="MN25" s="1251">
        <f t="shared" si="3"/>
        <v>1</v>
      </c>
      <c r="MO25" s="1251">
        <f t="shared" si="3"/>
        <v>0</v>
      </c>
      <c r="MP25" s="1251">
        <f t="shared" si="3"/>
        <v>0</v>
      </c>
      <c r="MQ25" s="1251">
        <f t="shared" si="3"/>
        <v>1</v>
      </c>
      <c r="MR25" s="1251">
        <f t="shared" si="3"/>
        <v>1</v>
      </c>
      <c r="MS25" s="1251">
        <f t="shared" si="3"/>
        <v>0</v>
      </c>
      <c r="MT25" s="1251">
        <f t="shared" si="3"/>
        <v>0</v>
      </c>
      <c r="MU25" s="1251">
        <f t="shared" si="3"/>
        <v>1</v>
      </c>
      <c r="MV25" s="1251">
        <f t="shared" si="3"/>
        <v>1</v>
      </c>
      <c r="MW25" s="1251">
        <f t="shared" si="3"/>
        <v>0</v>
      </c>
      <c r="MX25" s="1252">
        <f t="shared" si="3"/>
        <v>0</v>
      </c>
      <c r="MY25" s="1253">
        <f t="shared" ref="MY25:PJ25" si="4">ABS(MY20-1)</f>
        <v>1</v>
      </c>
      <c r="MZ25" s="1251">
        <f t="shared" si="4"/>
        <v>1</v>
      </c>
      <c r="NA25" s="1251">
        <f t="shared" si="4"/>
        <v>0</v>
      </c>
      <c r="NB25" s="1251">
        <f t="shared" si="4"/>
        <v>0</v>
      </c>
      <c r="NC25" s="1251">
        <f t="shared" si="4"/>
        <v>1</v>
      </c>
      <c r="ND25" s="1251">
        <f t="shared" si="4"/>
        <v>1</v>
      </c>
      <c r="NE25" s="1251">
        <f t="shared" si="4"/>
        <v>0</v>
      </c>
      <c r="NF25" s="1251">
        <f t="shared" si="4"/>
        <v>0</v>
      </c>
      <c r="NG25" s="1251">
        <f t="shared" si="4"/>
        <v>1</v>
      </c>
      <c r="NH25" s="1251">
        <f t="shared" si="4"/>
        <v>1</v>
      </c>
      <c r="NI25" s="1251">
        <f t="shared" si="4"/>
        <v>0</v>
      </c>
      <c r="NJ25" s="1251">
        <f t="shared" si="4"/>
        <v>0</v>
      </c>
      <c r="NK25" s="1251">
        <f t="shared" si="4"/>
        <v>1</v>
      </c>
      <c r="NL25" s="1251">
        <f t="shared" si="4"/>
        <v>1</v>
      </c>
      <c r="NM25" s="1251">
        <f t="shared" si="4"/>
        <v>0</v>
      </c>
      <c r="NN25" s="1252">
        <f t="shared" si="4"/>
        <v>0</v>
      </c>
      <c r="NO25" s="1253">
        <f t="shared" si="4"/>
        <v>1</v>
      </c>
      <c r="NP25" s="1251">
        <f t="shared" si="4"/>
        <v>1</v>
      </c>
      <c r="NQ25" s="1251">
        <f t="shared" si="4"/>
        <v>0</v>
      </c>
      <c r="NR25" s="1251">
        <f t="shared" si="4"/>
        <v>0</v>
      </c>
      <c r="NS25" s="1251">
        <f t="shared" si="4"/>
        <v>1</v>
      </c>
      <c r="NT25" s="1251">
        <f t="shared" si="4"/>
        <v>1</v>
      </c>
      <c r="NU25" s="1251">
        <f t="shared" si="4"/>
        <v>0</v>
      </c>
      <c r="NV25" s="1251">
        <f t="shared" si="4"/>
        <v>0</v>
      </c>
      <c r="NW25" s="1251">
        <f t="shared" si="4"/>
        <v>1</v>
      </c>
      <c r="NX25" s="1251">
        <f t="shared" si="4"/>
        <v>1</v>
      </c>
      <c r="NY25" s="1251">
        <f t="shared" si="4"/>
        <v>0</v>
      </c>
      <c r="NZ25" s="1251">
        <f t="shared" si="4"/>
        <v>0</v>
      </c>
      <c r="OA25" s="1251">
        <f t="shared" si="4"/>
        <v>1</v>
      </c>
      <c r="OB25" s="1251">
        <f t="shared" si="4"/>
        <v>1</v>
      </c>
      <c r="OC25" s="1251">
        <f t="shared" si="4"/>
        <v>0</v>
      </c>
      <c r="OD25" s="1252">
        <f t="shared" si="4"/>
        <v>0</v>
      </c>
      <c r="OE25" s="1253">
        <f t="shared" si="4"/>
        <v>1</v>
      </c>
      <c r="OF25" s="1251">
        <f t="shared" si="4"/>
        <v>1</v>
      </c>
      <c r="OG25" s="1251">
        <f t="shared" si="4"/>
        <v>0</v>
      </c>
      <c r="OH25" s="1251">
        <f t="shared" si="4"/>
        <v>0</v>
      </c>
      <c r="OI25" s="1251">
        <f t="shared" si="4"/>
        <v>1</v>
      </c>
      <c r="OJ25" s="1251">
        <f t="shared" si="4"/>
        <v>1</v>
      </c>
      <c r="OK25" s="1251">
        <f t="shared" si="4"/>
        <v>0</v>
      </c>
      <c r="OL25" s="1251">
        <f t="shared" si="4"/>
        <v>0</v>
      </c>
      <c r="OM25" s="1251">
        <f t="shared" si="4"/>
        <v>1</v>
      </c>
      <c r="ON25" s="1251">
        <f t="shared" si="4"/>
        <v>1</v>
      </c>
      <c r="OO25" s="1251">
        <f t="shared" si="4"/>
        <v>0</v>
      </c>
      <c r="OP25" s="1251">
        <f t="shared" si="4"/>
        <v>0</v>
      </c>
      <c r="OQ25" s="1251">
        <f t="shared" si="4"/>
        <v>1</v>
      </c>
      <c r="OR25" s="1251">
        <f t="shared" si="4"/>
        <v>1</v>
      </c>
      <c r="OS25" s="1251">
        <f t="shared" si="4"/>
        <v>0</v>
      </c>
      <c r="OT25" s="1252">
        <f t="shared" si="4"/>
        <v>0</v>
      </c>
      <c r="OU25" s="1253">
        <f t="shared" si="4"/>
        <v>1</v>
      </c>
      <c r="OV25" s="1251">
        <f t="shared" si="4"/>
        <v>1</v>
      </c>
      <c r="OW25" s="1251">
        <f t="shared" si="4"/>
        <v>0</v>
      </c>
      <c r="OX25" s="1251">
        <f t="shared" si="4"/>
        <v>0</v>
      </c>
      <c r="OY25" s="1251">
        <f t="shared" si="4"/>
        <v>1</v>
      </c>
      <c r="OZ25" s="1251">
        <f t="shared" si="4"/>
        <v>1</v>
      </c>
      <c r="PA25" s="1251">
        <f t="shared" si="4"/>
        <v>0</v>
      </c>
      <c r="PB25" s="1251">
        <f t="shared" si="4"/>
        <v>0</v>
      </c>
      <c r="PC25" s="1251">
        <f t="shared" si="4"/>
        <v>1</v>
      </c>
      <c r="PD25" s="1251">
        <f t="shared" si="4"/>
        <v>1</v>
      </c>
      <c r="PE25" s="1251">
        <f t="shared" si="4"/>
        <v>0</v>
      </c>
      <c r="PF25" s="1251">
        <f t="shared" si="4"/>
        <v>0</v>
      </c>
      <c r="PG25" s="1251">
        <f t="shared" si="4"/>
        <v>1</v>
      </c>
      <c r="PH25" s="1251">
        <f t="shared" si="4"/>
        <v>1</v>
      </c>
      <c r="PI25" s="1251">
        <f t="shared" si="4"/>
        <v>0</v>
      </c>
      <c r="PJ25" s="1252">
        <f t="shared" si="4"/>
        <v>0</v>
      </c>
      <c r="PK25" s="1253">
        <f t="shared" ref="PK25:PZ25" si="5">ABS(PK20-1)</f>
        <v>1</v>
      </c>
      <c r="PL25" s="1251">
        <f t="shared" si="5"/>
        <v>1</v>
      </c>
      <c r="PM25" s="1251">
        <f t="shared" si="5"/>
        <v>0</v>
      </c>
      <c r="PN25" s="1251">
        <f t="shared" si="5"/>
        <v>0</v>
      </c>
      <c r="PO25" s="1251">
        <f t="shared" si="5"/>
        <v>1</v>
      </c>
      <c r="PP25" s="1251">
        <f t="shared" si="5"/>
        <v>1</v>
      </c>
      <c r="PQ25" s="1251">
        <f t="shared" si="5"/>
        <v>0</v>
      </c>
      <c r="PR25" s="1251">
        <f t="shared" si="5"/>
        <v>0</v>
      </c>
      <c r="PS25" s="1251">
        <f t="shared" si="5"/>
        <v>1</v>
      </c>
      <c r="PT25" s="1251">
        <f t="shared" si="5"/>
        <v>1</v>
      </c>
      <c r="PU25" s="1251">
        <f t="shared" si="5"/>
        <v>0</v>
      </c>
      <c r="PV25" s="1251">
        <f t="shared" si="5"/>
        <v>0</v>
      </c>
      <c r="PW25" s="1251">
        <f t="shared" si="5"/>
        <v>1</v>
      </c>
      <c r="PX25" s="1251">
        <f t="shared" si="5"/>
        <v>1</v>
      </c>
      <c r="PY25" s="1251">
        <f t="shared" si="5"/>
        <v>0</v>
      </c>
      <c r="PZ25" s="1252">
        <f t="shared" si="5"/>
        <v>0</v>
      </c>
      <c r="QB25" s="33" t="s">
        <v>1072</v>
      </c>
    </row>
    <row r="26" spans="1:444" s="33" customFormat="1" x14ac:dyDescent="0.25">
      <c r="A26" s="26"/>
      <c r="B26" s="1479" t="s">
        <v>1146</v>
      </c>
      <c r="C26" s="1389" t="s">
        <v>367</v>
      </c>
      <c r="D26" s="1389" t="s">
        <v>368</v>
      </c>
      <c r="E26" s="17"/>
      <c r="F26" s="1250"/>
      <c r="G26" s="647"/>
      <c r="H26" s="647" t="s">
        <v>898</v>
      </c>
      <c r="I26" s="647"/>
      <c r="J26" s="647"/>
      <c r="K26" s="1383"/>
      <c r="L26" s="647"/>
      <c r="M26" s="647"/>
      <c r="N26" s="647"/>
      <c r="O26" s="140"/>
      <c r="P26" s="140"/>
      <c r="X26"/>
      <c r="Y26"/>
      <c r="Z26"/>
      <c r="AA26"/>
      <c r="AB26"/>
      <c r="AC26"/>
      <c r="AD26" s="7"/>
      <c r="AE26" s="194"/>
      <c r="AF26" s="378"/>
      <c r="AG26" s="378"/>
      <c r="AH26" s="378"/>
      <c r="AI26" s="378"/>
      <c r="AJ26" s="799"/>
      <c r="AK26" s="799"/>
      <c r="AL26" s="799"/>
      <c r="AM26" s="799"/>
      <c r="AN26" s="799"/>
      <c r="AO26" s="799"/>
      <c r="AP26" s="799"/>
      <c r="AQ26" s="799"/>
      <c r="AR26" s="140"/>
      <c r="AS26" s="194"/>
      <c r="AT26" s="8"/>
      <c r="AU26" s="8"/>
      <c r="AV26" s="8"/>
      <c r="AW26" s="8"/>
      <c r="AX26" s="8"/>
      <c r="AZ26" s="7" t="s">
        <v>1072</v>
      </c>
      <c r="ER26" s="7" t="s">
        <v>1072</v>
      </c>
      <c r="ES26" s="1375"/>
      <c r="ET26" s="7" t="s">
        <v>1072</v>
      </c>
      <c r="EU26" s="1375"/>
      <c r="EV26" s="1375"/>
      <c r="EW26" s="1375"/>
      <c r="EX26" s="1375"/>
      <c r="EY26" s="1375"/>
      <c r="EZ26" s="1375"/>
      <c r="FA26" s="1375"/>
      <c r="FB26" s="1375"/>
      <c r="FC26" s="1375"/>
      <c r="FD26" s="1375"/>
      <c r="FE26" s="1375"/>
      <c r="FF26" s="1375"/>
      <c r="FG26" s="1375"/>
      <c r="FH26" s="1375"/>
      <c r="FI26" s="1375"/>
      <c r="FJ26" s="1375"/>
      <c r="FK26" s="1375"/>
      <c r="FL26" s="1375"/>
      <c r="FM26" s="1375"/>
      <c r="FN26" s="1375"/>
      <c r="FO26" s="1375"/>
      <c r="FP26" s="1375"/>
      <c r="FQ26" s="1375"/>
      <c r="FR26" s="1375"/>
      <c r="FS26" s="1375"/>
      <c r="FT26" s="1375"/>
      <c r="FU26" s="1375"/>
      <c r="FV26" s="1375"/>
      <c r="FW26" s="1375"/>
      <c r="FX26" s="1375"/>
      <c r="FY26" s="1375"/>
      <c r="FZ26" s="1375"/>
      <c r="GA26" s="1375"/>
      <c r="GB26" s="1375"/>
      <c r="GC26" s="1375"/>
      <c r="GD26" s="1375"/>
      <c r="GE26" s="1375"/>
      <c r="GF26" s="1375"/>
      <c r="GG26" s="1375"/>
      <c r="GH26" s="1375"/>
      <c r="GI26" s="1375"/>
      <c r="GJ26" s="1375"/>
      <c r="GK26" s="1375"/>
      <c r="GL26" s="1375"/>
      <c r="GM26" s="1375"/>
      <c r="GN26" s="1375"/>
      <c r="GO26" s="1375"/>
      <c r="GP26" s="1375"/>
      <c r="GQ26" s="1375"/>
      <c r="GR26" s="1375"/>
      <c r="GS26" s="1375"/>
      <c r="GT26" s="1375"/>
      <c r="GU26" s="1375"/>
      <c r="GV26" s="1375"/>
      <c r="GW26" s="1375"/>
      <c r="GX26" s="1375"/>
      <c r="GY26" s="1375"/>
      <c r="GZ26" s="1375"/>
      <c r="HA26" s="1375"/>
      <c r="HB26" s="1375"/>
      <c r="HC26" s="1375"/>
      <c r="HD26" s="7"/>
      <c r="JN26" s="140"/>
      <c r="JO26" s="140"/>
      <c r="JP26" s="140"/>
      <c r="JQ26" s="194"/>
      <c r="JR26" s="140"/>
      <c r="JS26" s="140"/>
      <c r="JT26" s="140"/>
      <c r="JU26" s="140"/>
      <c r="JV26" s="140"/>
      <c r="KG26" s="7" t="s">
        <v>1072</v>
      </c>
      <c r="KH26" s="7"/>
      <c r="KI26" s="7"/>
      <c r="KJ26" s="7"/>
      <c r="KK26" s="7"/>
      <c r="KL26" s="140"/>
      <c r="KM26" s="1253">
        <f t="shared" ref="KM26:MX26" si="6">ABS(KM21-1)</f>
        <v>1</v>
      </c>
      <c r="KN26" s="1251">
        <f t="shared" si="6"/>
        <v>1</v>
      </c>
      <c r="KO26" s="1251">
        <f t="shared" si="6"/>
        <v>1</v>
      </c>
      <c r="KP26" s="1251">
        <f t="shared" si="6"/>
        <v>1</v>
      </c>
      <c r="KQ26" s="1251">
        <f t="shared" si="6"/>
        <v>0</v>
      </c>
      <c r="KR26" s="1251">
        <f t="shared" si="6"/>
        <v>0</v>
      </c>
      <c r="KS26" s="1251">
        <f t="shared" si="6"/>
        <v>0</v>
      </c>
      <c r="KT26" s="1251">
        <f t="shared" si="6"/>
        <v>0</v>
      </c>
      <c r="KU26" s="1251">
        <f t="shared" si="6"/>
        <v>1</v>
      </c>
      <c r="KV26" s="1251">
        <f t="shared" si="6"/>
        <v>1</v>
      </c>
      <c r="KW26" s="1251">
        <f t="shared" si="6"/>
        <v>1</v>
      </c>
      <c r="KX26" s="1251">
        <f t="shared" si="6"/>
        <v>1</v>
      </c>
      <c r="KY26" s="1251">
        <f t="shared" si="6"/>
        <v>0</v>
      </c>
      <c r="KZ26" s="1251">
        <f t="shared" si="6"/>
        <v>0</v>
      </c>
      <c r="LA26" s="1251">
        <f t="shared" si="6"/>
        <v>0</v>
      </c>
      <c r="LB26" s="1252">
        <f t="shared" si="6"/>
        <v>0</v>
      </c>
      <c r="LC26" s="1253">
        <f t="shared" si="6"/>
        <v>1</v>
      </c>
      <c r="LD26" s="1251">
        <f t="shared" si="6"/>
        <v>1</v>
      </c>
      <c r="LE26" s="1251">
        <f t="shared" si="6"/>
        <v>1</v>
      </c>
      <c r="LF26" s="1251">
        <f t="shared" si="6"/>
        <v>1</v>
      </c>
      <c r="LG26" s="1251">
        <f t="shared" si="6"/>
        <v>0</v>
      </c>
      <c r="LH26" s="1251">
        <f t="shared" si="6"/>
        <v>0</v>
      </c>
      <c r="LI26" s="1251">
        <f t="shared" si="6"/>
        <v>0</v>
      </c>
      <c r="LJ26" s="1251">
        <f t="shared" si="6"/>
        <v>0</v>
      </c>
      <c r="LK26" s="1251">
        <f t="shared" si="6"/>
        <v>1</v>
      </c>
      <c r="LL26" s="1251">
        <f t="shared" si="6"/>
        <v>1</v>
      </c>
      <c r="LM26" s="1251">
        <f t="shared" si="6"/>
        <v>1</v>
      </c>
      <c r="LN26" s="1251">
        <f t="shared" si="6"/>
        <v>1</v>
      </c>
      <c r="LO26" s="1251">
        <f t="shared" si="6"/>
        <v>0</v>
      </c>
      <c r="LP26" s="1251">
        <f t="shared" si="6"/>
        <v>0</v>
      </c>
      <c r="LQ26" s="1251">
        <f t="shared" si="6"/>
        <v>0</v>
      </c>
      <c r="LR26" s="1252">
        <f t="shared" si="6"/>
        <v>0</v>
      </c>
      <c r="LS26" s="1253">
        <f t="shared" si="6"/>
        <v>1</v>
      </c>
      <c r="LT26" s="1251">
        <f t="shared" si="6"/>
        <v>1</v>
      </c>
      <c r="LU26" s="1251">
        <f t="shared" si="6"/>
        <v>1</v>
      </c>
      <c r="LV26" s="1251">
        <f t="shared" si="6"/>
        <v>1</v>
      </c>
      <c r="LW26" s="1251">
        <f t="shared" si="6"/>
        <v>0</v>
      </c>
      <c r="LX26" s="1251">
        <f t="shared" si="6"/>
        <v>0</v>
      </c>
      <c r="LY26" s="1251">
        <f t="shared" si="6"/>
        <v>0</v>
      </c>
      <c r="LZ26" s="1251">
        <f t="shared" si="6"/>
        <v>0</v>
      </c>
      <c r="MA26" s="1251">
        <f t="shared" si="6"/>
        <v>1</v>
      </c>
      <c r="MB26" s="1251">
        <f t="shared" si="6"/>
        <v>1</v>
      </c>
      <c r="MC26" s="1251">
        <f t="shared" si="6"/>
        <v>1</v>
      </c>
      <c r="MD26" s="1251">
        <f t="shared" si="6"/>
        <v>1</v>
      </c>
      <c r="ME26" s="1251">
        <f t="shared" si="6"/>
        <v>0</v>
      </c>
      <c r="MF26" s="1251">
        <f t="shared" si="6"/>
        <v>0</v>
      </c>
      <c r="MG26" s="1251">
        <f t="shared" si="6"/>
        <v>0</v>
      </c>
      <c r="MH26" s="1252">
        <f t="shared" si="6"/>
        <v>0</v>
      </c>
      <c r="MI26" s="1253">
        <f t="shared" si="6"/>
        <v>1</v>
      </c>
      <c r="MJ26" s="1251">
        <f t="shared" si="6"/>
        <v>1</v>
      </c>
      <c r="MK26" s="1251">
        <f t="shared" si="6"/>
        <v>1</v>
      </c>
      <c r="ML26" s="1251">
        <f t="shared" si="6"/>
        <v>1</v>
      </c>
      <c r="MM26" s="1251">
        <f t="shared" si="6"/>
        <v>0</v>
      </c>
      <c r="MN26" s="1251">
        <f t="shared" si="6"/>
        <v>0</v>
      </c>
      <c r="MO26" s="1251">
        <f t="shared" si="6"/>
        <v>0</v>
      </c>
      <c r="MP26" s="1251">
        <f t="shared" si="6"/>
        <v>0</v>
      </c>
      <c r="MQ26" s="1251">
        <f t="shared" si="6"/>
        <v>1</v>
      </c>
      <c r="MR26" s="1251">
        <f t="shared" si="6"/>
        <v>1</v>
      </c>
      <c r="MS26" s="1251">
        <f t="shared" si="6"/>
        <v>1</v>
      </c>
      <c r="MT26" s="1251">
        <f t="shared" si="6"/>
        <v>1</v>
      </c>
      <c r="MU26" s="1251">
        <f t="shared" si="6"/>
        <v>0</v>
      </c>
      <c r="MV26" s="1251">
        <f t="shared" si="6"/>
        <v>0</v>
      </c>
      <c r="MW26" s="1251">
        <f t="shared" si="6"/>
        <v>0</v>
      </c>
      <c r="MX26" s="1252">
        <f t="shared" si="6"/>
        <v>0</v>
      </c>
      <c r="MY26" s="1253">
        <f t="shared" ref="MY26:PJ26" si="7">ABS(MY21-1)</f>
        <v>1</v>
      </c>
      <c r="MZ26" s="1251">
        <f t="shared" si="7"/>
        <v>1</v>
      </c>
      <c r="NA26" s="1251">
        <f t="shared" si="7"/>
        <v>1</v>
      </c>
      <c r="NB26" s="1251">
        <f t="shared" si="7"/>
        <v>1</v>
      </c>
      <c r="NC26" s="1251">
        <f t="shared" si="7"/>
        <v>0</v>
      </c>
      <c r="ND26" s="1251">
        <f t="shared" si="7"/>
        <v>0</v>
      </c>
      <c r="NE26" s="1251">
        <f t="shared" si="7"/>
        <v>0</v>
      </c>
      <c r="NF26" s="1251">
        <f t="shared" si="7"/>
        <v>0</v>
      </c>
      <c r="NG26" s="1251">
        <f t="shared" si="7"/>
        <v>1</v>
      </c>
      <c r="NH26" s="1251">
        <f t="shared" si="7"/>
        <v>1</v>
      </c>
      <c r="NI26" s="1251">
        <f t="shared" si="7"/>
        <v>1</v>
      </c>
      <c r="NJ26" s="1251">
        <f t="shared" si="7"/>
        <v>1</v>
      </c>
      <c r="NK26" s="1251">
        <f t="shared" si="7"/>
        <v>0</v>
      </c>
      <c r="NL26" s="1251">
        <f t="shared" si="7"/>
        <v>0</v>
      </c>
      <c r="NM26" s="1251">
        <f t="shared" si="7"/>
        <v>0</v>
      </c>
      <c r="NN26" s="1252">
        <f t="shared" si="7"/>
        <v>0</v>
      </c>
      <c r="NO26" s="1253">
        <f t="shared" si="7"/>
        <v>1</v>
      </c>
      <c r="NP26" s="1251">
        <f t="shared" si="7"/>
        <v>1</v>
      </c>
      <c r="NQ26" s="1251">
        <f t="shared" si="7"/>
        <v>1</v>
      </c>
      <c r="NR26" s="1251">
        <f t="shared" si="7"/>
        <v>1</v>
      </c>
      <c r="NS26" s="1251">
        <f t="shared" si="7"/>
        <v>0</v>
      </c>
      <c r="NT26" s="1251">
        <f t="shared" si="7"/>
        <v>0</v>
      </c>
      <c r="NU26" s="1251">
        <f t="shared" si="7"/>
        <v>0</v>
      </c>
      <c r="NV26" s="1251">
        <f t="shared" si="7"/>
        <v>0</v>
      </c>
      <c r="NW26" s="1251">
        <f t="shared" si="7"/>
        <v>1</v>
      </c>
      <c r="NX26" s="1251">
        <f t="shared" si="7"/>
        <v>1</v>
      </c>
      <c r="NY26" s="1251">
        <f t="shared" si="7"/>
        <v>1</v>
      </c>
      <c r="NZ26" s="1251">
        <f t="shared" si="7"/>
        <v>1</v>
      </c>
      <c r="OA26" s="1251">
        <f t="shared" si="7"/>
        <v>0</v>
      </c>
      <c r="OB26" s="1251">
        <f t="shared" si="7"/>
        <v>0</v>
      </c>
      <c r="OC26" s="1251">
        <f t="shared" si="7"/>
        <v>0</v>
      </c>
      <c r="OD26" s="1252">
        <f t="shared" si="7"/>
        <v>0</v>
      </c>
      <c r="OE26" s="1253">
        <f t="shared" si="7"/>
        <v>1</v>
      </c>
      <c r="OF26" s="1251">
        <f t="shared" si="7"/>
        <v>1</v>
      </c>
      <c r="OG26" s="1251">
        <f t="shared" si="7"/>
        <v>1</v>
      </c>
      <c r="OH26" s="1251">
        <f t="shared" si="7"/>
        <v>1</v>
      </c>
      <c r="OI26" s="1251">
        <f t="shared" si="7"/>
        <v>0</v>
      </c>
      <c r="OJ26" s="1251">
        <f t="shared" si="7"/>
        <v>0</v>
      </c>
      <c r="OK26" s="1251">
        <f t="shared" si="7"/>
        <v>0</v>
      </c>
      <c r="OL26" s="1251">
        <f t="shared" si="7"/>
        <v>0</v>
      </c>
      <c r="OM26" s="1251">
        <f t="shared" si="7"/>
        <v>1</v>
      </c>
      <c r="ON26" s="1251">
        <f t="shared" si="7"/>
        <v>1</v>
      </c>
      <c r="OO26" s="1251">
        <f t="shared" si="7"/>
        <v>1</v>
      </c>
      <c r="OP26" s="1251">
        <f t="shared" si="7"/>
        <v>1</v>
      </c>
      <c r="OQ26" s="1251">
        <f t="shared" si="7"/>
        <v>0</v>
      </c>
      <c r="OR26" s="1251">
        <f t="shared" si="7"/>
        <v>0</v>
      </c>
      <c r="OS26" s="1251">
        <f t="shared" si="7"/>
        <v>0</v>
      </c>
      <c r="OT26" s="1252">
        <f t="shared" si="7"/>
        <v>0</v>
      </c>
      <c r="OU26" s="1253">
        <f t="shared" si="7"/>
        <v>1</v>
      </c>
      <c r="OV26" s="1251">
        <f t="shared" si="7"/>
        <v>1</v>
      </c>
      <c r="OW26" s="1251">
        <f t="shared" si="7"/>
        <v>1</v>
      </c>
      <c r="OX26" s="1251">
        <f t="shared" si="7"/>
        <v>1</v>
      </c>
      <c r="OY26" s="1251">
        <f t="shared" si="7"/>
        <v>0</v>
      </c>
      <c r="OZ26" s="1251">
        <f t="shared" si="7"/>
        <v>0</v>
      </c>
      <c r="PA26" s="1251">
        <f t="shared" si="7"/>
        <v>0</v>
      </c>
      <c r="PB26" s="1251">
        <f t="shared" si="7"/>
        <v>0</v>
      </c>
      <c r="PC26" s="1251">
        <f t="shared" si="7"/>
        <v>1</v>
      </c>
      <c r="PD26" s="1251">
        <f t="shared" si="7"/>
        <v>1</v>
      </c>
      <c r="PE26" s="1251">
        <f t="shared" si="7"/>
        <v>1</v>
      </c>
      <c r="PF26" s="1251">
        <f t="shared" si="7"/>
        <v>1</v>
      </c>
      <c r="PG26" s="1251">
        <f t="shared" si="7"/>
        <v>0</v>
      </c>
      <c r="PH26" s="1251">
        <f t="shared" si="7"/>
        <v>0</v>
      </c>
      <c r="PI26" s="1251">
        <f t="shared" si="7"/>
        <v>0</v>
      </c>
      <c r="PJ26" s="1252">
        <f t="shared" si="7"/>
        <v>0</v>
      </c>
      <c r="PK26" s="1253">
        <f t="shared" ref="PK26:PZ26" si="8">ABS(PK21-1)</f>
        <v>1</v>
      </c>
      <c r="PL26" s="1251">
        <f t="shared" si="8"/>
        <v>1</v>
      </c>
      <c r="PM26" s="1251">
        <f t="shared" si="8"/>
        <v>1</v>
      </c>
      <c r="PN26" s="1251">
        <f t="shared" si="8"/>
        <v>1</v>
      </c>
      <c r="PO26" s="1251">
        <f t="shared" si="8"/>
        <v>0</v>
      </c>
      <c r="PP26" s="1251">
        <f t="shared" si="8"/>
        <v>0</v>
      </c>
      <c r="PQ26" s="1251">
        <f t="shared" si="8"/>
        <v>0</v>
      </c>
      <c r="PR26" s="1251">
        <f t="shared" si="8"/>
        <v>0</v>
      </c>
      <c r="PS26" s="1251">
        <f t="shared" si="8"/>
        <v>1</v>
      </c>
      <c r="PT26" s="1251">
        <f t="shared" si="8"/>
        <v>1</v>
      </c>
      <c r="PU26" s="1251">
        <f t="shared" si="8"/>
        <v>1</v>
      </c>
      <c r="PV26" s="1251">
        <f t="shared" si="8"/>
        <v>1</v>
      </c>
      <c r="PW26" s="1251">
        <f t="shared" si="8"/>
        <v>0</v>
      </c>
      <c r="PX26" s="1251">
        <f t="shared" si="8"/>
        <v>0</v>
      </c>
      <c r="PY26" s="1251">
        <f t="shared" si="8"/>
        <v>0</v>
      </c>
      <c r="PZ26" s="1252">
        <f t="shared" si="8"/>
        <v>0</v>
      </c>
      <c r="QB26" s="33" t="s">
        <v>1072</v>
      </c>
    </row>
    <row r="27" spans="1:444" s="33" customFormat="1" x14ac:dyDescent="0.25">
      <c r="A27" s="26"/>
      <c r="B27" s="1481">
        <f>D27-C27</f>
        <v>0.17999999999999994</v>
      </c>
      <c r="C27" s="1449">
        <v>0.8</v>
      </c>
      <c r="D27" s="1449">
        <v>0.98</v>
      </c>
      <c r="E27" s="257"/>
      <c r="F27" s="1385" t="s">
        <v>1134</v>
      </c>
      <c r="G27" s="257"/>
      <c r="H27" s="1385"/>
      <c r="I27" s="1385"/>
      <c r="J27" s="1385"/>
      <c r="K27" s="1386"/>
      <c r="L27" s="647"/>
      <c r="M27" s="647"/>
      <c r="N27" s="647"/>
      <c r="O27" s="140"/>
      <c r="P27" s="140"/>
      <c r="X27"/>
      <c r="Y27"/>
      <c r="Z27"/>
      <c r="AA27"/>
      <c r="AB27"/>
      <c r="AC27"/>
      <c r="AD27" s="7"/>
      <c r="AE27" s="194"/>
      <c r="AF27" s="378"/>
      <c r="AG27" s="378"/>
      <c r="AH27" s="378"/>
      <c r="AI27" s="378"/>
      <c r="AJ27" s="799"/>
      <c r="AK27" s="799"/>
      <c r="AL27" s="799"/>
      <c r="AM27" s="799"/>
      <c r="AN27" s="799"/>
      <c r="AO27" s="799"/>
      <c r="AP27" s="799"/>
      <c r="AQ27" s="799"/>
      <c r="AR27" s="140"/>
      <c r="AS27" s="194"/>
      <c r="AT27" s="8"/>
      <c r="AU27" s="8"/>
      <c r="AV27" s="8"/>
      <c r="AW27" s="8"/>
      <c r="AX27" s="8"/>
      <c r="AZ27" s="7" t="s">
        <v>1072</v>
      </c>
      <c r="ER27" s="7" t="s">
        <v>1072</v>
      </c>
      <c r="ES27" s="1375"/>
      <c r="ET27" s="7" t="s">
        <v>1072</v>
      </c>
      <c r="EU27" s="1375"/>
      <c r="EV27" s="1375"/>
      <c r="EW27" s="1375"/>
      <c r="EX27" s="1375"/>
      <c r="EY27" s="1375"/>
      <c r="EZ27" s="1375"/>
      <c r="FA27" s="1375"/>
      <c r="FB27" s="1375"/>
      <c r="FC27" s="1375"/>
      <c r="FD27" s="1375"/>
      <c r="FE27" s="1375"/>
      <c r="FF27" s="1375"/>
      <c r="FG27" s="1375"/>
      <c r="FH27" s="1375"/>
      <c r="FI27" s="1375"/>
      <c r="FJ27" s="1375"/>
      <c r="FK27" s="1375"/>
      <c r="FL27" s="1375"/>
      <c r="FM27" s="1375"/>
      <c r="FN27" s="1375"/>
      <c r="FO27" s="1375"/>
      <c r="FP27" s="1375"/>
      <c r="FQ27" s="1375"/>
      <c r="FR27" s="1375"/>
      <c r="FS27" s="1375"/>
      <c r="FT27" s="1375"/>
      <c r="FU27" s="1375"/>
      <c r="FV27" s="1375"/>
      <c r="FW27" s="1375"/>
      <c r="FX27" s="1375"/>
      <c r="FY27" s="1375"/>
      <c r="FZ27" s="1375"/>
      <c r="GA27" s="1375"/>
      <c r="GB27" s="1375"/>
      <c r="GC27" s="1375"/>
      <c r="GD27" s="1375"/>
      <c r="GE27" s="1375"/>
      <c r="GF27" s="1375"/>
      <c r="GG27" s="1375"/>
      <c r="GH27" s="1375"/>
      <c r="GI27" s="1375"/>
      <c r="GJ27" s="1375"/>
      <c r="GK27" s="1375"/>
      <c r="GL27" s="1375"/>
      <c r="GM27" s="1375"/>
      <c r="GN27" s="1375"/>
      <c r="GO27" s="1375"/>
      <c r="GP27" s="1375"/>
      <c r="GQ27" s="1375"/>
      <c r="GR27" s="1375"/>
      <c r="GS27" s="1375"/>
      <c r="GT27" s="1375"/>
      <c r="GU27" s="1375"/>
      <c r="GV27" s="1375"/>
      <c r="GW27" s="1375"/>
      <c r="GX27" s="1375"/>
      <c r="GY27" s="1375"/>
      <c r="GZ27" s="1375"/>
      <c r="HA27" s="1375"/>
      <c r="HB27" s="1375"/>
      <c r="HC27" s="1375"/>
      <c r="HD27" s="7"/>
      <c r="JN27" s="140"/>
      <c r="JO27" s="140"/>
      <c r="JP27" s="140"/>
      <c r="JQ27" s="194"/>
      <c r="JR27" s="140"/>
      <c r="JS27" s="140"/>
      <c r="JT27" s="140"/>
      <c r="JU27" s="140"/>
      <c r="JV27" s="140"/>
      <c r="KG27" s="7" t="s">
        <v>1072</v>
      </c>
      <c r="KH27" s="7"/>
      <c r="KI27" s="7"/>
      <c r="KJ27" s="7"/>
      <c r="KK27" s="7"/>
      <c r="KL27" s="140"/>
      <c r="KM27" s="1029">
        <f t="shared" ref="KM27:MX27" si="9">ABS(KM22-1)</f>
        <v>1</v>
      </c>
      <c r="KN27" s="1257">
        <f t="shared" si="9"/>
        <v>1</v>
      </c>
      <c r="KO27" s="1257">
        <f t="shared" si="9"/>
        <v>1</v>
      </c>
      <c r="KP27" s="1257">
        <f t="shared" si="9"/>
        <v>1</v>
      </c>
      <c r="KQ27" s="1257">
        <f t="shared" si="9"/>
        <v>1</v>
      </c>
      <c r="KR27" s="1257">
        <f t="shared" si="9"/>
        <v>1</v>
      </c>
      <c r="KS27" s="1257">
        <f t="shared" si="9"/>
        <v>1</v>
      </c>
      <c r="KT27" s="1257">
        <f t="shared" si="9"/>
        <v>1</v>
      </c>
      <c r="KU27" s="1257">
        <f t="shared" si="9"/>
        <v>0</v>
      </c>
      <c r="KV27" s="1257">
        <f t="shared" si="9"/>
        <v>0</v>
      </c>
      <c r="KW27" s="1257">
        <f t="shared" si="9"/>
        <v>0</v>
      </c>
      <c r="KX27" s="1257">
        <f t="shared" si="9"/>
        <v>0</v>
      </c>
      <c r="KY27" s="1257">
        <f t="shared" si="9"/>
        <v>0</v>
      </c>
      <c r="KZ27" s="1257">
        <f t="shared" si="9"/>
        <v>0</v>
      </c>
      <c r="LA27" s="1257">
        <f t="shared" si="9"/>
        <v>0</v>
      </c>
      <c r="LB27" s="1078">
        <f t="shared" si="9"/>
        <v>0</v>
      </c>
      <c r="LC27" s="1029">
        <f t="shared" si="9"/>
        <v>1</v>
      </c>
      <c r="LD27" s="1257">
        <f t="shared" si="9"/>
        <v>1</v>
      </c>
      <c r="LE27" s="1257">
        <f t="shared" si="9"/>
        <v>1</v>
      </c>
      <c r="LF27" s="1257">
        <f t="shared" si="9"/>
        <v>1</v>
      </c>
      <c r="LG27" s="1257">
        <f t="shared" si="9"/>
        <v>1</v>
      </c>
      <c r="LH27" s="1257">
        <f t="shared" si="9"/>
        <v>1</v>
      </c>
      <c r="LI27" s="1257">
        <f t="shared" si="9"/>
        <v>1</v>
      </c>
      <c r="LJ27" s="1257">
        <f t="shared" si="9"/>
        <v>1</v>
      </c>
      <c r="LK27" s="1257">
        <f t="shared" si="9"/>
        <v>0</v>
      </c>
      <c r="LL27" s="1257">
        <f t="shared" si="9"/>
        <v>0</v>
      </c>
      <c r="LM27" s="1257">
        <f t="shared" si="9"/>
        <v>0</v>
      </c>
      <c r="LN27" s="1257">
        <f t="shared" si="9"/>
        <v>0</v>
      </c>
      <c r="LO27" s="1257">
        <f t="shared" si="9"/>
        <v>0</v>
      </c>
      <c r="LP27" s="1257">
        <f t="shared" si="9"/>
        <v>0</v>
      </c>
      <c r="LQ27" s="1257">
        <f t="shared" si="9"/>
        <v>0</v>
      </c>
      <c r="LR27" s="1078">
        <f t="shared" si="9"/>
        <v>0</v>
      </c>
      <c r="LS27" s="1029">
        <f t="shared" si="9"/>
        <v>1</v>
      </c>
      <c r="LT27" s="1257">
        <f t="shared" si="9"/>
        <v>1</v>
      </c>
      <c r="LU27" s="1257">
        <f t="shared" si="9"/>
        <v>1</v>
      </c>
      <c r="LV27" s="1257">
        <f t="shared" si="9"/>
        <v>1</v>
      </c>
      <c r="LW27" s="1257">
        <f t="shared" si="9"/>
        <v>1</v>
      </c>
      <c r="LX27" s="1257">
        <f t="shared" si="9"/>
        <v>1</v>
      </c>
      <c r="LY27" s="1257">
        <f t="shared" si="9"/>
        <v>1</v>
      </c>
      <c r="LZ27" s="1257">
        <f t="shared" si="9"/>
        <v>1</v>
      </c>
      <c r="MA27" s="1257">
        <f t="shared" si="9"/>
        <v>0</v>
      </c>
      <c r="MB27" s="1257">
        <f t="shared" si="9"/>
        <v>0</v>
      </c>
      <c r="MC27" s="1257">
        <f t="shared" si="9"/>
        <v>0</v>
      </c>
      <c r="MD27" s="1257">
        <f t="shared" si="9"/>
        <v>0</v>
      </c>
      <c r="ME27" s="1257">
        <f t="shared" si="9"/>
        <v>0</v>
      </c>
      <c r="MF27" s="1257">
        <f t="shared" si="9"/>
        <v>0</v>
      </c>
      <c r="MG27" s="1257">
        <f t="shared" si="9"/>
        <v>0</v>
      </c>
      <c r="MH27" s="1078">
        <f t="shared" si="9"/>
        <v>0</v>
      </c>
      <c r="MI27" s="1029">
        <f t="shared" si="9"/>
        <v>1</v>
      </c>
      <c r="MJ27" s="1257">
        <f t="shared" si="9"/>
        <v>1</v>
      </c>
      <c r="MK27" s="1257">
        <f t="shared" si="9"/>
        <v>1</v>
      </c>
      <c r="ML27" s="1257">
        <f t="shared" si="9"/>
        <v>1</v>
      </c>
      <c r="MM27" s="1257">
        <f t="shared" si="9"/>
        <v>1</v>
      </c>
      <c r="MN27" s="1257">
        <f t="shared" si="9"/>
        <v>1</v>
      </c>
      <c r="MO27" s="1257">
        <f t="shared" si="9"/>
        <v>1</v>
      </c>
      <c r="MP27" s="1257">
        <f t="shared" si="9"/>
        <v>1</v>
      </c>
      <c r="MQ27" s="1257">
        <f t="shared" si="9"/>
        <v>0</v>
      </c>
      <c r="MR27" s="1257">
        <f t="shared" si="9"/>
        <v>0</v>
      </c>
      <c r="MS27" s="1257">
        <f t="shared" si="9"/>
        <v>0</v>
      </c>
      <c r="MT27" s="1257">
        <f t="shared" si="9"/>
        <v>0</v>
      </c>
      <c r="MU27" s="1257">
        <f t="shared" si="9"/>
        <v>0</v>
      </c>
      <c r="MV27" s="1257">
        <f t="shared" si="9"/>
        <v>0</v>
      </c>
      <c r="MW27" s="1257">
        <f t="shared" si="9"/>
        <v>0</v>
      </c>
      <c r="MX27" s="1078">
        <f t="shared" si="9"/>
        <v>0</v>
      </c>
      <c r="MY27" s="1029">
        <f t="shared" ref="MY27:PJ27" si="10">ABS(MY22-1)</f>
        <v>1</v>
      </c>
      <c r="MZ27" s="1257">
        <f t="shared" si="10"/>
        <v>1</v>
      </c>
      <c r="NA27" s="1257">
        <f t="shared" si="10"/>
        <v>1</v>
      </c>
      <c r="NB27" s="1257">
        <f t="shared" si="10"/>
        <v>1</v>
      </c>
      <c r="NC27" s="1257">
        <f t="shared" si="10"/>
        <v>1</v>
      </c>
      <c r="ND27" s="1257">
        <f t="shared" si="10"/>
        <v>1</v>
      </c>
      <c r="NE27" s="1257">
        <f t="shared" si="10"/>
        <v>1</v>
      </c>
      <c r="NF27" s="1257">
        <f t="shared" si="10"/>
        <v>1</v>
      </c>
      <c r="NG27" s="1257">
        <f t="shared" si="10"/>
        <v>0</v>
      </c>
      <c r="NH27" s="1257">
        <f t="shared" si="10"/>
        <v>0</v>
      </c>
      <c r="NI27" s="1257">
        <f t="shared" si="10"/>
        <v>0</v>
      </c>
      <c r="NJ27" s="1257">
        <f t="shared" si="10"/>
        <v>0</v>
      </c>
      <c r="NK27" s="1257">
        <f t="shared" si="10"/>
        <v>0</v>
      </c>
      <c r="NL27" s="1257">
        <f t="shared" si="10"/>
        <v>0</v>
      </c>
      <c r="NM27" s="1257">
        <f t="shared" si="10"/>
        <v>0</v>
      </c>
      <c r="NN27" s="1078">
        <f t="shared" si="10"/>
        <v>0</v>
      </c>
      <c r="NO27" s="1029">
        <f t="shared" si="10"/>
        <v>1</v>
      </c>
      <c r="NP27" s="1257">
        <f t="shared" si="10"/>
        <v>1</v>
      </c>
      <c r="NQ27" s="1257">
        <f t="shared" si="10"/>
        <v>1</v>
      </c>
      <c r="NR27" s="1257">
        <f t="shared" si="10"/>
        <v>1</v>
      </c>
      <c r="NS27" s="1257">
        <f t="shared" si="10"/>
        <v>1</v>
      </c>
      <c r="NT27" s="1257">
        <f t="shared" si="10"/>
        <v>1</v>
      </c>
      <c r="NU27" s="1257">
        <f t="shared" si="10"/>
        <v>1</v>
      </c>
      <c r="NV27" s="1257">
        <f t="shared" si="10"/>
        <v>1</v>
      </c>
      <c r="NW27" s="1257">
        <f t="shared" si="10"/>
        <v>0</v>
      </c>
      <c r="NX27" s="1257">
        <f t="shared" si="10"/>
        <v>0</v>
      </c>
      <c r="NY27" s="1257">
        <f t="shared" si="10"/>
        <v>0</v>
      </c>
      <c r="NZ27" s="1257">
        <f t="shared" si="10"/>
        <v>0</v>
      </c>
      <c r="OA27" s="1257">
        <f t="shared" si="10"/>
        <v>0</v>
      </c>
      <c r="OB27" s="1257">
        <f t="shared" si="10"/>
        <v>0</v>
      </c>
      <c r="OC27" s="1257">
        <f t="shared" si="10"/>
        <v>0</v>
      </c>
      <c r="OD27" s="1078">
        <f t="shared" si="10"/>
        <v>0</v>
      </c>
      <c r="OE27" s="1029">
        <f t="shared" si="10"/>
        <v>1</v>
      </c>
      <c r="OF27" s="1257">
        <f t="shared" si="10"/>
        <v>1</v>
      </c>
      <c r="OG27" s="1257">
        <f t="shared" si="10"/>
        <v>1</v>
      </c>
      <c r="OH27" s="1257">
        <f t="shared" si="10"/>
        <v>1</v>
      </c>
      <c r="OI27" s="1257">
        <f t="shared" si="10"/>
        <v>1</v>
      </c>
      <c r="OJ27" s="1257">
        <f t="shared" si="10"/>
        <v>1</v>
      </c>
      <c r="OK27" s="1257">
        <f t="shared" si="10"/>
        <v>1</v>
      </c>
      <c r="OL27" s="1257">
        <f t="shared" si="10"/>
        <v>1</v>
      </c>
      <c r="OM27" s="1257">
        <f t="shared" si="10"/>
        <v>0</v>
      </c>
      <c r="ON27" s="1257">
        <f t="shared" si="10"/>
        <v>0</v>
      </c>
      <c r="OO27" s="1257">
        <f t="shared" si="10"/>
        <v>0</v>
      </c>
      <c r="OP27" s="1257">
        <f t="shared" si="10"/>
        <v>0</v>
      </c>
      <c r="OQ27" s="1257">
        <f t="shared" si="10"/>
        <v>0</v>
      </c>
      <c r="OR27" s="1257">
        <f t="shared" si="10"/>
        <v>0</v>
      </c>
      <c r="OS27" s="1257">
        <f t="shared" si="10"/>
        <v>0</v>
      </c>
      <c r="OT27" s="1078">
        <f t="shared" si="10"/>
        <v>0</v>
      </c>
      <c r="OU27" s="1029">
        <f t="shared" si="10"/>
        <v>1</v>
      </c>
      <c r="OV27" s="1257">
        <f t="shared" si="10"/>
        <v>1</v>
      </c>
      <c r="OW27" s="1257">
        <f t="shared" si="10"/>
        <v>1</v>
      </c>
      <c r="OX27" s="1257">
        <f t="shared" si="10"/>
        <v>1</v>
      </c>
      <c r="OY27" s="1257">
        <f t="shared" si="10"/>
        <v>1</v>
      </c>
      <c r="OZ27" s="1257">
        <f t="shared" si="10"/>
        <v>1</v>
      </c>
      <c r="PA27" s="1257">
        <f t="shared" si="10"/>
        <v>1</v>
      </c>
      <c r="PB27" s="1257">
        <f t="shared" si="10"/>
        <v>1</v>
      </c>
      <c r="PC27" s="1257">
        <f t="shared" si="10"/>
        <v>0</v>
      </c>
      <c r="PD27" s="1257">
        <f t="shared" si="10"/>
        <v>0</v>
      </c>
      <c r="PE27" s="1257">
        <f t="shared" si="10"/>
        <v>0</v>
      </c>
      <c r="PF27" s="1257">
        <f t="shared" si="10"/>
        <v>0</v>
      </c>
      <c r="PG27" s="1257">
        <f t="shared" si="10"/>
        <v>0</v>
      </c>
      <c r="PH27" s="1257">
        <f t="shared" si="10"/>
        <v>0</v>
      </c>
      <c r="PI27" s="1257">
        <f t="shared" si="10"/>
        <v>0</v>
      </c>
      <c r="PJ27" s="1078">
        <f t="shared" si="10"/>
        <v>0</v>
      </c>
      <c r="PK27" s="1029">
        <f t="shared" ref="PK27:PZ27" si="11">ABS(PK22-1)</f>
        <v>1</v>
      </c>
      <c r="PL27" s="1257">
        <f t="shared" si="11"/>
        <v>1</v>
      </c>
      <c r="PM27" s="1257">
        <f t="shared" si="11"/>
        <v>1</v>
      </c>
      <c r="PN27" s="1257">
        <f t="shared" si="11"/>
        <v>1</v>
      </c>
      <c r="PO27" s="1257">
        <f t="shared" si="11"/>
        <v>1</v>
      </c>
      <c r="PP27" s="1257">
        <f t="shared" si="11"/>
        <v>1</v>
      </c>
      <c r="PQ27" s="1257">
        <f t="shared" si="11"/>
        <v>1</v>
      </c>
      <c r="PR27" s="1257">
        <f t="shared" si="11"/>
        <v>1</v>
      </c>
      <c r="PS27" s="1257">
        <f t="shared" si="11"/>
        <v>0</v>
      </c>
      <c r="PT27" s="1257">
        <f t="shared" si="11"/>
        <v>0</v>
      </c>
      <c r="PU27" s="1257">
        <f t="shared" si="11"/>
        <v>0</v>
      </c>
      <c r="PV27" s="1257">
        <f t="shared" si="11"/>
        <v>0</v>
      </c>
      <c r="PW27" s="1257">
        <f t="shared" si="11"/>
        <v>0</v>
      </c>
      <c r="PX27" s="1257">
        <f t="shared" si="11"/>
        <v>0</v>
      </c>
      <c r="PY27" s="1257">
        <f t="shared" si="11"/>
        <v>0</v>
      </c>
      <c r="PZ27" s="1078">
        <f t="shared" si="11"/>
        <v>0</v>
      </c>
      <c r="QB27" s="33" t="s">
        <v>1072</v>
      </c>
    </row>
    <row r="28" spans="1:444" s="33" customFormat="1" x14ac:dyDescent="0.25">
      <c r="A28"/>
      <c r="B28"/>
      <c r="C28" s="1376"/>
      <c r="D28" s="140"/>
      <c r="E28" s="140"/>
      <c r="F28" s="8"/>
      <c r="G28" s="140"/>
      <c r="H28" s="647"/>
      <c r="I28" s="140"/>
      <c r="J28" s="140"/>
      <c r="K28" s="140"/>
      <c r="L28" s="140"/>
      <c r="M28" s="140"/>
      <c r="N28" s="1454"/>
      <c r="O28" s="1455"/>
      <c r="P28" s="1455"/>
      <c r="Q28" s="1456"/>
      <c r="R28" s="1456"/>
      <c r="S28" s="1456"/>
      <c r="T28" s="1456"/>
      <c r="U28" s="1456"/>
      <c r="V28" s="1456"/>
      <c r="W28" s="1457"/>
      <c r="X28"/>
      <c r="Y28"/>
      <c r="Z28"/>
      <c r="AA28"/>
      <c r="AB28"/>
      <c r="AC28"/>
      <c r="AD28" s="7"/>
      <c r="AE28" s="194"/>
      <c r="AF28" s="378"/>
      <c r="AG28" s="378"/>
      <c r="AH28" s="378"/>
      <c r="AI28" s="378"/>
      <c r="AJ28" s="799"/>
      <c r="AK28" s="799"/>
      <c r="AL28" s="799"/>
      <c r="AM28" s="799"/>
      <c r="AN28" s="799"/>
      <c r="AO28" s="799"/>
      <c r="AP28" s="799"/>
      <c r="AQ28" s="799"/>
      <c r="AR28" s="140"/>
      <c r="AS28" s="194"/>
      <c r="AT28" s="8"/>
      <c r="AU28" s="8"/>
      <c r="AV28" s="8"/>
      <c r="AW28" s="8"/>
      <c r="AX28" s="8"/>
      <c r="AZ28" s="7" t="s">
        <v>1072</v>
      </c>
      <c r="ER28" s="7" t="s">
        <v>1072</v>
      </c>
      <c r="ES28" s="1375"/>
      <c r="ET28" s="7" t="s">
        <v>1072</v>
      </c>
      <c r="EU28" s="1375"/>
      <c r="EV28" s="1375"/>
      <c r="EW28" s="1375"/>
      <c r="EX28" s="1375"/>
      <c r="EY28" s="1375"/>
      <c r="EZ28" s="1375"/>
      <c r="FA28" s="1375"/>
      <c r="FB28" s="1375"/>
      <c r="FC28" s="1375"/>
      <c r="FD28" s="1375"/>
      <c r="FE28" s="1375"/>
      <c r="FF28" s="1375"/>
      <c r="FG28" s="1375"/>
      <c r="FH28" s="1375"/>
      <c r="FI28" s="1375"/>
      <c r="FJ28" s="1375"/>
      <c r="FK28" s="1375"/>
      <c r="FL28" s="1375"/>
      <c r="FM28" s="1375"/>
      <c r="FN28" s="1375"/>
      <c r="FO28" s="1375"/>
      <c r="FP28" s="1375"/>
      <c r="FQ28" s="1375"/>
      <c r="FR28" s="1375"/>
      <c r="FS28" s="1375"/>
      <c r="FT28" s="1375"/>
      <c r="FU28" s="1375"/>
      <c r="FV28" s="1375"/>
      <c r="FW28" s="1375"/>
      <c r="FX28" s="1375"/>
      <c r="FY28" s="1375"/>
      <c r="FZ28" s="1375"/>
      <c r="GA28" s="1375"/>
      <c r="GB28" s="1375"/>
      <c r="GC28" s="1375"/>
      <c r="GD28" s="1375"/>
      <c r="GE28" s="1375"/>
      <c r="GF28" s="1375"/>
      <c r="GG28" s="1375"/>
      <c r="GH28" s="1375"/>
      <c r="GI28" s="1375"/>
      <c r="GJ28" s="1375"/>
      <c r="GK28" s="1375"/>
      <c r="GL28" s="1375"/>
      <c r="GM28" s="1375"/>
      <c r="GN28" s="1375"/>
      <c r="GO28" s="1375"/>
      <c r="GP28" s="1375"/>
      <c r="GQ28" s="1375"/>
      <c r="GR28" s="1375"/>
      <c r="GS28" s="1375"/>
      <c r="GT28" s="1375"/>
      <c r="GU28" s="1375"/>
      <c r="GV28" s="1375"/>
      <c r="GW28" s="1375"/>
      <c r="GX28" s="1375"/>
      <c r="GY28" s="1375"/>
      <c r="GZ28" s="1375"/>
      <c r="HA28" s="1375"/>
      <c r="HB28" s="1375"/>
      <c r="HC28" s="1375"/>
      <c r="HD28" s="7"/>
      <c r="JN28" s="140"/>
      <c r="JO28" s="140"/>
      <c r="JP28" s="140"/>
      <c r="JQ28" s="194"/>
      <c r="JR28" s="140"/>
      <c r="JS28" s="140"/>
      <c r="JT28" s="140"/>
      <c r="JU28" s="140"/>
      <c r="JV28" s="140"/>
      <c r="KG28" s="7" t="s">
        <v>1072</v>
      </c>
      <c r="KH28" s="7"/>
      <c r="KI28" s="7"/>
      <c r="KJ28" s="7"/>
      <c r="KK28" s="7"/>
      <c r="KL28" s="140"/>
      <c r="KM28" s="7" t="s">
        <v>1072</v>
      </c>
      <c r="QB28" s="33" t="s">
        <v>1072</v>
      </c>
    </row>
    <row r="29" spans="1:444" s="33" customFormat="1" x14ac:dyDescent="0.25">
      <c r="A29"/>
      <c r="B29" s="1379" t="s">
        <v>901</v>
      </c>
      <c r="C29" s="1380" t="s">
        <v>1142</v>
      </c>
      <c r="D29" s="1380"/>
      <c r="E29" s="1380"/>
      <c r="F29" s="1380"/>
      <c r="G29" s="1380"/>
      <c r="H29" s="1380"/>
      <c r="I29" s="1380"/>
      <c r="J29" s="264"/>
      <c r="K29" s="259"/>
      <c r="L29" s="140"/>
      <c r="M29" s="140"/>
      <c r="N29" s="1458"/>
      <c r="O29" s="1459" t="s">
        <v>916</v>
      </c>
      <c r="P29" s="1459"/>
      <c r="Q29" s="1460"/>
      <c r="R29" s="1460"/>
      <c r="S29" s="1460"/>
      <c r="T29" s="1460"/>
      <c r="U29" s="1460"/>
      <c r="V29" s="1460"/>
      <c r="W29" s="1461"/>
      <c r="X29"/>
      <c r="Y29"/>
      <c r="Z29"/>
      <c r="AA29"/>
      <c r="AB29"/>
      <c r="AC29"/>
      <c r="AD29" s="7"/>
      <c r="AE29" s="194"/>
      <c r="AF29" s="378"/>
      <c r="AG29" s="378"/>
      <c r="AH29" s="378"/>
      <c r="AI29" s="378"/>
      <c r="AJ29" s="799"/>
      <c r="AK29" s="799"/>
      <c r="AL29" s="799"/>
      <c r="AM29" s="799"/>
      <c r="AN29" s="799"/>
      <c r="AO29" s="799"/>
      <c r="AP29" s="799"/>
      <c r="AQ29" s="799"/>
      <c r="AR29" s="140"/>
      <c r="AS29" s="194"/>
      <c r="AT29" s="8"/>
      <c r="AU29" s="8"/>
      <c r="AV29" s="8"/>
      <c r="AW29" s="8"/>
      <c r="AX29" s="8"/>
      <c r="AZ29" s="7" t="s">
        <v>1072</v>
      </c>
      <c r="ER29" s="7" t="s">
        <v>1072</v>
      </c>
      <c r="ES29" s="1375"/>
      <c r="ET29" s="7" t="s">
        <v>1072</v>
      </c>
      <c r="EU29" s="1375"/>
      <c r="EV29" s="1375"/>
      <c r="EW29" s="1375"/>
      <c r="EX29" s="1375"/>
      <c r="EY29" s="1375"/>
      <c r="EZ29" s="1375"/>
      <c r="FA29" s="1375"/>
      <c r="FB29" s="1375"/>
      <c r="FC29" s="1375"/>
      <c r="FD29" s="1375"/>
      <c r="FE29" s="1375"/>
      <c r="FF29" s="1375"/>
      <c r="FG29" s="1375"/>
      <c r="FH29" s="1375"/>
      <c r="FI29" s="1375"/>
      <c r="FJ29" s="1375"/>
      <c r="FK29" s="1375"/>
      <c r="FL29" s="1375"/>
      <c r="FM29" s="1375"/>
      <c r="FN29" s="1375"/>
      <c r="FO29" s="1375"/>
      <c r="FP29" s="1375"/>
      <c r="FQ29" s="1375"/>
      <c r="FR29" s="1375"/>
      <c r="FS29" s="1375"/>
      <c r="FT29" s="1375"/>
      <c r="FU29" s="1375"/>
      <c r="FV29" s="1375"/>
      <c r="FW29" s="1375"/>
      <c r="FX29" s="1375"/>
      <c r="FY29" s="1375"/>
      <c r="FZ29" s="1375"/>
      <c r="GA29" s="1375"/>
      <c r="GB29" s="1375"/>
      <c r="GC29" s="1375"/>
      <c r="GD29" s="1375"/>
      <c r="GE29" s="1375"/>
      <c r="GF29" s="1375"/>
      <c r="GG29" s="1375"/>
      <c r="GH29" s="1375"/>
      <c r="GI29" s="1375"/>
      <c r="GJ29" s="1375"/>
      <c r="GK29" s="1375"/>
      <c r="GL29" s="1375"/>
      <c r="GM29" s="1375"/>
      <c r="GN29" s="1375"/>
      <c r="GO29" s="1375"/>
      <c r="GP29" s="1375"/>
      <c r="GQ29" s="1375"/>
      <c r="GR29" s="1375"/>
      <c r="GS29" s="1375"/>
      <c r="GT29" s="1375"/>
      <c r="GU29" s="1375"/>
      <c r="GV29" s="1375"/>
      <c r="GW29" s="1375"/>
      <c r="GX29" s="1375"/>
      <c r="GY29" s="1375"/>
      <c r="GZ29" s="1375"/>
      <c r="HA29" s="1375"/>
      <c r="HB29" s="1375"/>
      <c r="HC29" s="1375"/>
      <c r="HD29" s="7"/>
      <c r="JN29" s="140"/>
      <c r="JO29" s="140"/>
      <c r="JP29" s="140"/>
      <c r="JQ29" s="194"/>
      <c r="JR29" s="140"/>
      <c r="JS29" s="140"/>
      <c r="JT29" s="140"/>
      <c r="JU29" s="140"/>
      <c r="JV29" s="140"/>
      <c r="KG29" s="7" t="s">
        <v>1072</v>
      </c>
      <c r="KH29" s="7"/>
      <c r="KI29" s="7"/>
      <c r="KJ29" s="7"/>
      <c r="KK29" s="7"/>
      <c r="KL29" s="140"/>
      <c r="KM29" s="7" t="s">
        <v>1072</v>
      </c>
      <c r="QB29" s="33" t="s">
        <v>1072</v>
      </c>
    </row>
    <row r="30" spans="1:444" s="33" customFormat="1" x14ac:dyDescent="0.25">
      <c r="A30"/>
      <c r="B30" s="1382"/>
      <c r="C30" s="647"/>
      <c r="D30" s="647"/>
      <c r="E30" s="647"/>
      <c r="F30" s="647" t="s">
        <v>1240</v>
      </c>
      <c r="G30" s="647"/>
      <c r="H30" s="647"/>
      <c r="I30" s="647"/>
      <c r="J30" s="17"/>
      <c r="K30" s="239"/>
      <c r="L30" s="140"/>
      <c r="M30" s="140"/>
      <c r="N30" s="1458"/>
      <c r="O30" s="1459"/>
      <c r="P30" s="1459"/>
      <c r="Q30" s="1460"/>
      <c r="R30" s="1460"/>
      <c r="S30" s="1460"/>
      <c r="T30" s="1460"/>
      <c r="U30" s="1460"/>
      <c r="V30" s="1460"/>
      <c r="W30" s="1461"/>
      <c r="X30"/>
      <c r="Y30"/>
      <c r="Z30"/>
      <c r="AA30"/>
      <c r="AB30"/>
      <c r="AC30"/>
      <c r="AD30" s="7"/>
      <c r="AE30" s="194"/>
      <c r="AF30" s="378"/>
      <c r="AG30" s="378"/>
      <c r="AH30" s="378"/>
      <c r="AI30" s="378"/>
      <c r="AJ30" s="799"/>
      <c r="AK30" s="799"/>
      <c r="AL30" s="799"/>
      <c r="AM30" s="799"/>
      <c r="AN30" s="799"/>
      <c r="AO30" s="799"/>
      <c r="AP30" s="799"/>
      <c r="AQ30" s="799"/>
      <c r="AR30" s="140"/>
      <c r="AS30" s="194"/>
      <c r="AT30" s="8"/>
      <c r="AU30" s="8"/>
      <c r="AV30" s="8"/>
      <c r="AW30" s="8"/>
      <c r="AX30" s="8"/>
      <c r="AZ30" s="7" t="s">
        <v>1072</v>
      </c>
      <c r="ER30" s="7" t="s">
        <v>1072</v>
      </c>
      <c r="ES30" s="1375"/>
      <c r="ET30" s="7" t="s">
        <v>1072</v>
      </c>
      <c r="EU30" s="1375"/>
      <c r="EV30" s="1375"/>
      <c r="EW30" s="1375"/>
      <c r="EX30" s="1375"/>
      <c r="EY30" s="1375"/>
      <c r="EZ30" s="1375"/>
      <c r="FA30" s="1375"/>
      <c r="FB30" s="1375"/>
      <c r="FC30" s="1375"/>
      <c r="FD30" s="1375"/>
      <c r="FE30" s="1375"/>
      <c r="FF30" s="1375"/>
      <c r="FG30" s="1375"/>
      <c r="FH30" s="1375"/>
      <c r="FI30" s="1375"/>
      <c r="FJ30" s="1375"/>
      <c r="FK30" s="1375"/>
      <c r="FL30" s="1375"/>
      <c r="FM30" s="1375"/>
      <c r="FN30" s="1375"/>
      <c r="FO30" s="1375"/>
      <c r="FP30" s="1375"/>
      <c r="FQ30" s="1375"/>
      <c r="FR30" s="1375"/>
      <c r="FS30" s="1375"/>
      <c r="FT30" s="1375"/>
      <c r="FU30" s="1375"/>
      <c r="FV30" s="1375"/>
      <c r="FW30" s="1375"/>
      <c r="FX30" s="1375"/>
      <c r="FY30" s="1375"/>
      <c r="FZ30" s="1375"/>
      <c r="GA30" s="1375"/>
      <c r="GB30" s="1375"/>
      <c r="GC30" s="1375"/>
      <c r="GD30" s="1375"/>
      <c r="GE30" s="1375"/>
      <c r="GF30" s="1375"/>
      <c r="GG30" s="1375"/>
      <c r="GH30" s="1375"/>
      <c r="GI30" s="1375"/>
      <c r="GJ30" s="1375"/>
      <c r="GK30" s="1375"/>
      <c r="GL30" s="1375"/>
      <c r="GM30" s="1375"/>
      <c r="GN30" s="1375"/>
      <c r="GO30" s="1375"/>
      <c r="GP30" s="1375"/>
      <c r="GQ30" s="1375"/>
      <c r="GR30" s="1375"/>
      <c r="GS30" s="1375"/>
      <c r="GT30" s="1375"/>
      <c r="GU30" s="1375"/>
      <c r="GV30" s="1375"/>
      <c r="GW30" s="1375"/>
      <c r="GX30" s="1375"/>
      <c r="GY30" s="1375"/>
      <c r="GZ30" s="1375"/>
      <c r="HA30" s="1375"/>
      <c r="HB30" s="1375"/>
      <c r="HC30" s="1375"/>
      <c r="HD30" s="7"/>
      <c r="JN30" s="140"/>
      <c r="JO30" s="140"/>
      <c r="JP30" s="140"/>
      <c r="JQ30" s="194"/>
      <c r="JR30" s="140"/>
      <c r="JS30" s="140"/>
      <c r="JT30" s="140"/>
      <c r="JU30" s="140"/>
      <c r="JV30" s="140"/>
      <c r="KG30" s="7" t="s">
        <v>1072</v>
      </c>
      <c r="KH30" s="7"/>
      <c r="KI30" s="7"/>
      <c r="KJ30" s="7"/>
      <c r="KK30" s="7"/>
      <c r="KL30" s="140"/>
      <c r="KM30" s="7" t="s">
        <v>1072</v>
      </c>
      <c r="QB30" s="33" t="s">
        <v>1072</v>
      </c>
    </row>
    <row r="31" spans="1:444" s="33" customFormat="1" x14ac:dyDescent="0.25">
      <c r="A31"/>
      <c r="B31" s="1382"/>
      <c r="C31" s="647"/>
      <c r="D31" s="1075" t="s">
        <v>905</v>
      </c>
      <c r="E31" s="647"/>
      <c r="F31" s="647" t="s">
        <v>1136</v>
      </c>
      <c r="G31" s="647"/>
      <c r="I31" s="647"/>
      <c r="J31" s="647"/>
      <c r="K31" s="1383"/>
      <c r="L31" s="140"/>
      <c r="M31" s="140"/>
      <c r="N31" s="1462"/>
      <c r="O31" s="1463"/>
      <c r="P31" s="1464" t="s">
        <v>911</v>
      </c>
      <c r="Q31" s="1465" t="s">
        <v>915</v>
      </c>
      <c r="R31" s="1466"/>
      <c r="S31" s="1466"/>
      <c r="T31" s="1466"/>
      <c r="U31" s="1466"/>
      <c r="V31" s="1466"/>
      <c r="W31" s="1461"/>
      <c r="X31"/>
      <c r="Y31"/>
      <c r="Z31"/>
      <c r="AA31"/>
      <c r="AB31"/>
      <c r="AC31"/>
      <c r="AD31" s="7"/>
      <c r="AE31" s="194"/>
      <c r="AF31" s="378"/>
      <c r="AG31" s="378"/>
      <c r="AH31" s="378"/>
      <c r="AI31" s="378"/>
      <c r="AJ31" s="799"/>
      <c r="AK31" s="799"/>
      <c r="AL31" s="799"/>
      <c r="AM31" s="799"/>
      <c r="AN31" s="799"/>
      <c r="AO31" s="799"/>
      <c r="AP31" s="799"/>
      <c r="AQ31" s="799"/>
      <c r="AR31" s="140"/>
      <c r="AS31" s="194"/>
      <c r="AT31" s="8"/>
      <c r="AU31" s="8"/>
      <c r="AV31" s="8"/>
      <c r="AW31" s="8"/>
      <c r="AX31" s="8"/>
      <c r="AZ31" s="7" t="s">
        <v>1072</v>
      </c>
      <c r="ER31" s="7" t="s">
        <v>1072</v>
      </c>
      <c r="ES31" s="1375"/>
      <c r="ET31" s="7" t="s">
        <v>1072</v>
      </c>
      <c r="EU31" s="1375"/>
      <c r="EV31" s="1375"/>
      <c r="EW31" s="1375"/>
      <c r="EX31" s="1375"/>
      <c r="EY31" s="1375"/>
      <c r="EZ31" s="1375"/>
      <c r="FA31" s="1375"/>
      <c r="FB31" s="1375"/>
      <c r="FC31" s="1375"/>
      <c r="FD31" s="1375"/>
      <c r="FE31" s="1375"/>
      <c r="FF31" s="1375"/>
      <c r="FG31" s="1375"/>
      <c r="FH31" s="1375"/>
      <c r="FI31" s="1375"/>
      <c r="FJ31" s="1375"/>
      <c r="FK31" s="1375"/>
      <c r="FL31" s="1375"/>
      <c r="FM31" s="1375"/>
      <c r="FN31" s="1375"/>
      <c r="FO31" s="1375"/>
      <c r="FP31" s="1375"/>
      <c r="FQ31" s="1375"/>
      <c r="FR31" s="1375"/>
      <c r="FS31" s="1375"/>
      <c r="FT31" s="1375"/>
      <c r="FU31" s="1375"/>
      <c r="FV31" s="1375"/>
      <c r="FW31" s="1375"/>
      <c r="FX31" s="1375"/>
      <c r="FY31" s="1375"/>
      <c r="FZ31" s="1375"/>
      <c r="GA31" s="1375"/>
      <c r="GB31" s="1375"/>
      <c r="GC31" s="1375"/>
      <c r="GD31" s="1375"/>
      <c r="GE31" s="1375"/>
      <c r="GF31" s="1375"/>
      <c r="GG31" s="1375"/>
      <c r="GH31" s="1375"/>
      <c r="GI31" s="1375"/>
      <c r="GJ31" s="1375"/>
      <c r="GK31" s="1375"/>
      <c r="GL31" s="1375"/>
      <c r="GM31" s="1375"/>
      <c r="GN31" s="1375"/>
      <c r="GO31" s="1375"/>
      <c r="GP31" s="1375"/>
      <c r="GQ31" s="1375"/>
      <c r="GR31" s="1375"/>
      <c r="GS31" s="1375"/>
      <c r="GT31" s="1375"/>
      <c r="GU31" s="1375"/>
      <c r="GV31" s="1375"/>
      <c r="GW31" s="1375"/>
      <c r="GX31" s="1375"/>
      <c r="GY31" s="1375"/>
      <c r="GZ31" s="1375"/>
      <c r="HA31" s="1375"/>
      <c r="HB31" s="1375"/>
      <c r="HC31" s="1375"/>
      <c r="HD31" s="7"/>
      <c r="JN31" s="140"/>
      <c r="JO31" s="140"/>
      <c r="JP31" s="140"/>
      <c r="JQ31" s="194"/>
      <c r="JR31" s="140"/>
      <c r="JS31" s="140"/>
      <c r="JT31" s="140"/>
      <c r="JU31" s="140"/>
      <c r="JV31" s="140"/>
      <c r="KG31" s="7" t="s">
        <v>1072</v>
      </c>
      <c r="KH31" s="7"/>
      <c r="KI31" s="7"/>
      <c r="KJ31" s="7"/>
      <c r="KK31" s="7"/>
      <c r="KL31" s="140"/>
      <c r="KM31" s="1251" t="s">
        <v>1098</v>
      </c>
      <c r="KN31" s="84" t="s">
        <v>1099</v>
      </c>
      <c r="KO31" s="1251" t="s">
        <v>1098</v>
      </c>
      <c r="KP31" s="84" t="s">
        <v>1099</v>
      </c>
      <c r="KQ31" s="1251" t="s">
        <v>1098</v>
      </c>
      <c r="KR31" s="84" t="s">
        <v>1099</v>
      </c>
      <c r="KS31" s="1251" t="s">
        <v>1098</v>
      </c>
      <c r="KT31" s="84" t="s">
        <v>1099</v>
      </c>
      <c r="KU31" s="1251" t="s">
        <v>1098</v>
      </c>
      <c r="KV31" s="84" t="s">
        <v>1099</v>
      </c>
      <c r="KW31" s="1251" t="s">
        <v>1098</v>
      </c>
      <c r="KX31" s="84" t="s">
        <v>1099</v>
      </c>
      <c r="KY31" s="1251" t="s">
        <v>1098</v>
      </c>
      <c r="KZ31" s="84" t="s">
        <v>1099</v>
      </c>
      <c r="LA31" s="1251" t="s">
        <v>1098</v>
      </c>
      <c r="LB31" s="84" t="s">
        <v>1099</v>
      </c>
      <c r="LC31" s="1251" t="s">
        <v>1098</v>
      </c>
      <c r="LD31" s="84" t="s">
        <v>1099</v>
      </c>
      <c r="LE31" s="1251" t="s">
        <v>1098</v>
      </c>
      <c r="LF31" s="84" t="s">
        <v>1099</v>
      </c>
      <c r="LG31" s="1251" t="s">
        <v>1098</v>
      </c>
      <c r="LH31" s="84" t="s">
        <v>1099</v>
      </c>
      <c r="LI31" s="1251" t="s">
        <v>1098</v>
      </c>
      <c r="LJ31" s="84" t="s">
        <v>1099</v>
      </c>
      <c r="LK31" s="1251" t="s">
        <v>1098</v>
      </c>
      <c r="LL31" s="84" t="s">
        <v>1099</v>
      </c>
      <c r="LM31" s="1251" t="s">
        <v>1098</v>
      </c>
      <c r="LN31" s="84" t="s">
        <v>1099</v>
      </c>
      <c r="LO31" s="1251" t="s">
        <v>1098</v>
      </c>
      <c r="LP31" s="84" t="s">
        <v>1099</v>
      </c>
      <c r="LQ31" s="1251" t="s">
        <v>1098</v>
      </c>
      <c r="LR31" s="84" t="s">
        <v>1099</v>
      </c>
      <c r="LS31" s="1251" t="s">
        <v>1098</v>
      </c>
      <c r="LT31" s="84" t="s">
        <v>1099</v>
      </c>
      <c r="LU31" s="1251" t="s">
        <v>1098</v>
      </c>
      <c r="LV31" s="84" t="s">
        <v>1099</v>
      </c>
      <c r="LW31" s="1251" t="s">
        <v>1098</v>
      </c>
      <c r="LX31" s="84" t="s">
        <v>1099</v>
      </c>
      <c r="LY31" s="1251" t="s">
        <v>1098</v>
      </c>
      <c r="LZ31" s="84" t="s">
        <v>1099</v>
      </c>
      <c r="MA31" s="1251" t="s">
        <v>1098</v>
      </c>
      <c r="MB31" s="84" t="s">
        <v>1099</v>
      </c>
      <c r="MC31" s="1251" t="s">
        <v>1098</v>
      </c>
      <c r="MD31" s="84" t="s">
        <v>1099</v>
      </c>
      <c r="ME31" s="1251" t="s">
        <v>1098</v>
      </c>
      <c r="MF31" s="84" t="s">
        <v>1099</v>
      </c>
      <c r="MG31" s="1251" t="s">
        <v>1098</v>
      </c>
      <c r="MH31" s="84" t="s">
        <v>1099</v>
      </c>
      <c r="MI31" s="1251" t="s">
        <v>1098</v>
      </c>
      <c r="MJ31" s="84" t="s">
        <v>1099</v>
      </c>
      <c r="MK31" s="1251" t="s">
        <v>1098</v>
      </c>
      <c r="ML31" s="84" t="s">
        <v>1099</v>
      </c>
      <c r="MM31" s="1251" t="s">
        <v>1098</v>
      </c>
      <c r="MN31" s="84" t="s">
        <v>1099</v>
      </c>
      <c r="MO31" s="1251" t="s">
        <v>1098</v>
      </c>
      <c r="MP31" s="84" t="s">
        <v>1099</v>
      </c>
      <c r="MQ31" s="1251" t="s">
        <v>1098</v>
      </c>
      <c r="MR31" s="84" t="s">
        <v>1099</v>
      </c>
      <c r="MS31" s="1251" t="s">
        <v>1098</v>
      </c>
      <c r="MT31" s="84" t="s">
        <v>1099</v>
      </c>
      <c r="MU31" s="1251" t="s">
        <v>1098</v>
      </c>
      <c r="MV31" s="84" t="s">
        <v>1099</v>
      </c>
      <c r="MW31" s="1251" t="s">
        <v>1098</v>
      </c>
      <c r="MX31" s="84" t="s">
        <v>1099</v>
      </c>
      <c r="MY31" s="1251" t="s">
        <v>1098</v>
      </c>
      <c r="MZ31" s="84" t="s">
        <v>1099</v>
      </c>
      <c r="NA31" s="1251" t="s">
        <v>1098</v>
      </c>
      <c r="NB31" s="84" t="s">
        <v>1099</v>
      </c>
      <c r="NC31" s="1251" t="s">
        <v>1098</v>
      </c>
      <c r="ND31" s="84" t="s">
        <v>1099</v>
      </c>
      <c r="NE31" s="1251" t="s">
        <v>1098</v>
      </c>
      <c r="NF31" s="84" t="s">
        <v>1099</v>
      </c>
      <c r="NG31" s="1251" t="s">
        <v>1098</v>
      </c>
      <c r="NH31" s="84" t="s">
        <v>1099</v>
      </c>
      <c r="NI31" s="1251" t="s">
        <v>1098</v>
      </c>
      <c r="NJ31" s="84" t="s">
        <v>1099</v>
      </c>
      <c r="NK31" s="1251" t="s">
        <v>1098</v>
      </c>
      <c r="NL31" s="84" t="s">
        <v>1099</v>
      </c>
      <c r="NM31" s="1251" t="s">
        <v>1098</v>
      </c>
      <c r="NN31" s="84" t="s">
        <v>1099</v>
      </c>
      <c r="NO31" s="1251" t="s">
        <v>1098</v>
      </c>
      <c r="NP31" s="84" t="s">
        <v>1099</v>
      </c>
      <c r="NQ31" s="1251" t="s">
        <v>1098</v>
      </c>
      <c r="NR31" s="84" t="s">
        <v>1099</v>
      </c>
      <c r="NS31" s="1251" t="s">
        <v>1098</v>
      </c>
      <c r="NT31" s="84" t="s">
        <v>1099</v>
      </c>
      <c r="NU31" s="1251" t="s">
        <v>1098</v>
      </c>
      <c r="NV31" s="84" t="s">
        <v>1099</v>
      </c>
      <c r="NW31" s="1251" t="s">
        <v>1098</v>
      </c>
      <c r="NX31" s="84" t="s">
        <v>1099</v>
      </c>
      <c r="NY31" s="1251" t="s">
        <v>1098</v>
      </c>
      <c r="NZ31" s="84" t="s">
        <v>1099</v>
      </c>
      <c r="OA31" s="1251" t="s">
        <v>1098</v>
      </c>
      <c r="OB31" s="84" t="s">
        <v>1099</v>
      </c>
      <c r="OC31" s="1251" t="s">
        <v>1098</v>
      </c>
      <c r="OD31" s="84" t="s">
        <v>1099</v>
      </c>
      <c r="OE31" s="1251" t="s">
        <v>1098</v>
      </c>
      <c r="OF31" s="84" t="s">
        <v>1099</v>
      </c>
      <c r="OG31" s="1251" t="s">
        <v>1098</v>
      </c>
      <c r="OH31" s="84" t="s">
        <v>1099</v>
      </c>
      <c r="OI31" s="1251" t="s">
        <v>1098</v>
      </c>
      <c r="OJ31" s="84" t="s">
        <v>1099</v>
      </c>
      <c r="OK31" s="1251" t="s">
        <v>1098</v>
      </c>
      <c r="OL31" s="84" t="s">
        <v>1099</v>
      </c>
      <c r="OM31" s="1251" t="s">
        <v>1098</v>
      </c>
      <c r="ON31" s="84" t="s">
        <v>1099</v>
      </c>
      <c r="OO31" s="1251" t="s">
        <v>1098</v>
      </c>
      <c r="OP31" s="84" t="s">
        <v>1099</v>
      </c>
      <c r="OQ31" s="1251" t="s">
        <v>1098</v>
      </c>
      <c r="OR31" s="84" t="s">
        <v>1099</v>
      </c>
      <c r="OS31" s="1251" t="s">
        <v>1098</v>
      </c>
      <c r="OT31" s="84" t="s">
        <v>1099</v>
      </c>
      <c r="OU31" s="1251" t="s">
        <v>1098</v>
      </c>
      <c r="OV31" s="84" t="s">
        <v>1099</v>
      </c>
      <c r="OW31" s="1251" t="s">
        <v>1098</v>
      </c>
      <c r="OX31" s="84" t="s">
        <v>1099</v>
      </c>
      <c r="OY31" s="1251" t="s">
        <v>1098</v>
      </c>
      <c r="OZ31" s="84" t="s">
        <v>1099</v>
      </c>
      <c r="PA31" s="1251" t="s">
        <v>1098</v>
      </c>
      <c r="PB31" s="84" t="s">
        <v>1099</v>
      </c>
      <c r="PC31" s="1251" t="s">
        <v>1098</v>
      </c>
      <c r="PD31" s="84" t="s">
        <v>1099</v>
      </c>
      <c r="PE31" s="1251" t="s">
        <v>1098</v>
      </c>
      <c r="PF31" s="84" t="s">
        <v>1099</v>
      </c>
      <c r="PG31" s="1251" t="s">
        <v>1098</v>
      </c>
      <c r="PH31" s="84" t="s">
        <v>1099</v>
      </c>
      <c r="PI31" s="1251" t="s">
        <v>1098</v>
      </c>
      <c r="PJ31" s="84" t="s">
        <v>1099</v>
      </c>
      <c r="PK31" s="1251" t="s">
        <v>1098</v>
      </c>
      <c r="PL31" s="84" t="s">
        <v>1099</v>
      </c>
      <c r="PM31" s="1251" t="s">
        <v>1098</v>
      </c>
      <c r="PN31" s="84" t="s">
        <v>1099</v>
      </c>
      <c r="PO31" s="1251" t="s">
        <v>1098</v>
      </c>
      <c r="PP31" s="84" t="s">
        <v>1099</v>
      </c>
      <c r="PQ31" s="1251" t="s">
        <v>1098</v>
      </c>
      <c r="PR31" s="84" t="s">
        <v>1099</v>
      </c>
      <c r="PS31" s="1251" t="s">
        <v>1098</v>
      </c>
      <c r="PT31" s="84" t="s">
        <v>1099</v>
      </c>
      <c r="PU31" s="1251" t="s">
        <v>1098</v>
      </c>
      <c r="PV31" s="84" t="s">
        <v>1099</v>
      </c>
      <c r="PW31" s="1251" t="s">
        <v>1098</v>
      </c>
      <c r="PX31" s="84" t="s">
        <v>1099</v>
      </c>
      <c r="PY31" s="1251" t="s">
        <v>1098</v>
      </c>
      <c r="PZ31" s="84" t="s">
        <v>1099</v>
      </c>
      <c r="QB31" s="33" t="s">
        <v>1072</v>
      </c>
    </row>
    <row r="32" spans="1:444" s="33" customFormat="1" x14ac:dyDescent="0.25">
      <c r="A32"/>
      <c r="B32" s="1479" t="s">
        <v>1146</v>
      </c>
      <c r="C32" s="1389" t="s">
        <v>367</v>
      </c>
      <c r="D32" s="1389" t="s">
        <v>368</v>
      </c>
      <c r="E32" s="17"/>
      <c r="F32" s="1250"/>
      <c r="G32" s="647"/>
      <c r="H32" s="647" t="s">
        <v>898</v>
      </c>
      <c r="I32" s="647"/>
      <c r="J32" s="647"/>
      <c r="K32" s="1383"/>
      <c r="L32" s="140"/>
      <c r="M32" s="140"/>
      <c r="N32" s="1458"/>
      <c r="O32" s="1467" t="s">
        <v>912</v>
      </c>
      <c r="P32" s="1468">
        <v>4</v>
      </c>
      <c r="Q32" s="1467">
        <v>1</v>
      </c>
      <c r="R32" s="1460"/>
      <c r="S32" s="1460"/>
      <c r="T32" s="1460"/>
      <c r="U32" s="1460"/>
      <c r="V32" s="1460"/>
      <c r="W32" s="1461"/>
      <c r="X32"/>
      <c r="Y32"/>
      <c r="Z32"/>
      <c r="AA32"/>
      <c r="AB32"/>
      <c r="AC32"/>
      <c r="AD32" s="7"/>
      <c r="AE32" s="194"/>
      <c r="AF32" s="378"/>
      <c r="AG32" s="378"/>
      <c r="AH32" s="378"/>
      <c r="AI32" s="378"/>
      <c r="AJ32" s="799"/>
      <c r="AK32" s="799"/>
      <c r="AL32" s="799"/>
      <c r="AM32" s="799"/>
      <c r="AN32" s="799"/>
      <c r="AO32" s="799"/>
      <c r="AP32" s="799"/>
      <c r="AQ32" s="799"/>
      <c r="AR32" s="140"/>
      <c r="AS32" s="194"/>
      <c r="AT32" s="8"/>
      <c r="AU32" s="8"/>
      <c r="AV32" s="8"/>
      <c r="AW32" s="8"/>
      <c r="AX32" s="8"/>
      <c r="AZ32" s="7" t="s">
        <v>1072</v>
      </c>
      <c r="ER32" s="7" t="s">
        <v>1072</v>
      </c>
      <c r="ES32" s="1375"/>
      <c r="ET32" s="7" t="s">
        <v>1072</v>
      </c>
      <c r="EU32" s="1375"/>
      <c r="EV32" s="1375"/>
      <c r="EW32" s="1375"/>
      <c r="EX32" s="1375"/>
      <c r="EY32" s="1375"/>
      <c r="EZ32" s="1375"/>
      <c r="FA32" s="1375"/>
      <c r="FB32" s="1375"/>
      <c r="FC32" s="1375"/>
      <c r="FD32" s="1375"/>
      <c r="FE32" s="1375"/>
      <c r="FF32" s="1375"/>
      <c r="FG32" s="1375"/>
      <c r="FH32" s="1375"/>
      <c r="FI32" s="1375"/>
      <c r="FJ32" s="1375"/>
      <c r="FK32" s="1375"/>
      <c r="FL32" s="1375"/>
      <c r="FM32" s="1375"/>
      <c r="FN32" s="1375"/>
      <c r="FO32" s="1375"/>
      <c r="FP32" s="1375"/>
      <c r="FQ32" s="1375"/>
      <c r="FR32" s="1375"/>
      <c r="FS32" s="1375"/>
      <c r="FT32" s="1375"/>
      <c r="FU32" s="1375"/>
      <c r="FV32" s="1375"/>
      <c r="FW32" s="1375"/>
      <c r="FX32" s="1375"/>
      <c r="FY32" s="1375"/>
      <c r="FZ32" s="1375"/>
      <c r="GA32" s="1375"/>
      <c r="GB32" s="1375"/>
      <c r="GC32" s="1375"/>
      <c r="GD32" s="1375"/>
      <c r="GE32" s="1375"/>
      <c r="GF32" s="1375"/>
      <c r="GG32" s="1375"/>
      <c r="GH32" s="1375"/>
      <c r="GI32" s="1375"/>
      <c r="GJ32" s="1375"/>
      <c r="GK32" s="1375"/>
      <c r="GL32" s="1375"/>
      <c r="GM32" s="1375"/>
      <c r="GN32" s="1375"/>
      <c r="GO32" s="1375"/>
      <c r="GP32" s="1375"/>
      <c r="GQ32" s="1375"/>
      <c r="GR32" s="1375"/>
      <c r="GS32" s="1375"/>
      <c r="GT32" s="1375"/>
      <c r="GU32" s="1375"/>
      <c r="GV32" s="1375"/>
      <c r="GW32" s="1375"/>
      <c r="GX32" s="1375"/>
      <c r="GY32" s="1375"/>
      <c r="GZ32" s="1375"/>
      <c r="HA32" s="1375"/>
      <c r="HB32" s="1375"/>
      <c r="HC32" s="1375"/>
      <c r="HD32" s="7"/>
      <c r="JN32" s="140"/>
      <c r="JO32" s="140"/>
      <c r="JP32" s="140"/>
      <c r="JQ32" s="194"/>
      <c r="JR32" s="140"/>
      <c r="JS32" s="140"/>
      <c r="JT32" s="140"/>
      <c r="JU32" s="140"/>
      <c r="JV32" s="140"/>
      <c r="KG32" s="7" t="s">
        <v>1072</v>
      </c>
      <c r="KH32" s="7"/>
      <c r="KI32" s="7"/>
      <c r="KJ32" s="7"/>
      <c r="KK32" s="7"/>
      <c r="KL32" s="140"/>
      <c r="KM32" s="1251" t="s">
        <v>1096</v>
      </c>
      <c r="KN32" s="84" t="s">
        <v>1096</v>
      </c>
      <c r="KO32" s="84" t="s">
        <v>1097</v>
      </c>
      <c r="KP32" s="84" t="s">
        <v>1097</v>
      </c>
      <c r="KQ32" s="1251" t="s">
        <v>1096</v>
      </c>
      <c r="KR32" s="84" t="s">
        <v>1096</v>
      </c>
      <c r="KS32" s="84" t="s">
        <v>1097</v>
      </c>
      <c r="KT32" s="84" t="s">
        <v>1097</v>
      </c>
      <c r="KU32" s="1251" t="s">
        <v>1096</v>
      </c>
      <c r="KV32" s="84" t="s">
        <v>1096</v>
      </c>
      <c r="KW32" s="84" t="s">
        <v>1097</v>
      </c>
      <c r="KX32" s="84" t="s">
        <v>1097</v>
      </c>
      <c r="KY32" s="1251" t="s">
        <v>1096</v>
      </c>
      <c r="KZ32" s="84" t="s">
        <v>1096</v>
      </c>
      <c r="LA32" s="84" t="s">
        <v>1097</v>
      </c>
      <c r="LB32" s="84" t="s">
        <v>1097</v>
      </c>
      <c r="LC32" s="1251" t="s">
        <v>1096</v>
      </c>
      <c r="LD32" s="84" t="s">
        <v>1096</v>
      </c>
      <c r="LE32" s="84" t="s">
        <v>1097</v>
      </c>
      <c r="LF32" s="84" t="s">
        <v>1097</v>
      </c>
      <c r="LG32" s="1251" t="s">
        <v>1096</v>
      </c>
      <c r="LH32" s="84" t="s">
        <v>1096</v>
      </c>
      <c r="LI32" s="84" t="s">
        <v>1097</v>
      </c>
      <c r="LJ32" s="84" t="s">
        <v>1097</v>
      </c>
      <c r="LK32" s="1251" t="s">
        <v>1096</v>
      </c>
      <c r="LL32" s="84" t="s">
        <v>1096</v>
      </c>
      <c r="LM32" s="84" t="s">
        <v>1097</v>
      </c>
      <c r="LN32" s="84" t="s">
        <v>1097</v>
      </c>
      <c r="LO32" s="1251" t="s">
        <v>1096</v>
      </c>
      <c r="LP32" s="84" t="s">
        <v>1096</v>
      </c>
      <c r="LQ32" s="84" t="s">
        <v>1097</v>
      </c>
      <c r="LR32" s="84" t="s">
        <v>1097</v>
      </c>
      <c r="LS32" s="1251" t="s">
        <v>1096</v>
      </c>
      <c r="LT32" s="84" t="s">
        <v>1096</v>
      </c>
      <c r="LU32" s="84" t="s">
        <v>1097</v>
      </c>
      <c r="LV32" s="84" t="s">
        <v>1097</v>
      </c>
      <c r="LW32" s="1251" t="s">
        <v>1096</v>
      </c>
      <c r="LX32" s="84" t="s">
        <v>1096</v>
      </c>
      <c r="LY32" s="84" t="s">
        <v>1097</v>
      </c>
      <c r="LZ32" s="84" t="s">
        <v>1097</v>
      </c>
      <c r="MA32" s="1251" t="s">
        <v>1096</v>
      </c>
      <c r="MB32" s="84" t="s">
        <v>1096</v>
      </c>
      <c r="MC32" s="84" t="s">
        <v>1097</v>
      </c>
      <c r="MD32" s="84" t="s">
        <v>1097</v>
      </c>
      <c r="ME32" s="1251" t="s">
        <v>1096</v>
      </c>
      <c r="MF32" s="84" t="s">
        <v>1096</v>
      </c>
      <c r="MG32" s="84" t="s">
        <v>1097</v>
      </c>
      <c r="MH32" s="84" t="s">
        <v>1097</v>
      </c>
      <c r="MI32" s="1251" t="s">
        <v>1096</v>
      </c>
      <c r="MJ32" s="84" t="s">
        <v>1096</v>
      </c>
      <c r="MK32" s="84" t="s">
        <v>1097</v>
      </c>
      <c r="ML32" s="84" t="s">
        <v>1097</v>
      </c>
      <c r="MM32" s="1251" t="s">
        <v>1096</v>
      </c>
      <c r="MN32" s="84" t="s">
        <v>1096</v>
      </c>
      <c r="MO32" s="84" t="s">
        <v>1097</v>
      </c>
      <c r="MP32" s="84" t="s">
        <v>1097</v>
      </c>
      <c r="MQ32" s="1251" t="s">
        <v>1096</v>
      </c>
      <c r="MR32" s="84" t="s">
        <v>1096</v>
      </c>
      <c r="MS32" s="84" t="s">
        <v>1097</v>
      </c>
      <c r="MT32" s="84" t="s">
        <v>1097</v>
      </c>
      <c r="MU32" s="1251" t="s">
        <v>1096</v>
      </c>
      <c r="MV32" s="84" t="s">
        <v>1096</v>
      </c>
      <c r="MW32" s="84" t="s">
        <v>1097</v>
      </c>
      <c r="MX32" s="84" t="s">
        <v>1097</v>
      </c>
      <c r="MY32" s="1251" t="s">
        <v>1096</v>
      </c>
      <c r="MZ32" s="84" t="s">
        <v>1096</v>
      </c>
      <c r="NA32" s="84" t="s">
        <v>1097</v>
      </c>
      <c r="NB32" s="84" t="s">
        <v>1097</v>
      </c>
      <c r="NC32" s="1251" t="s">
        <v>1096</v>
      </c>
      <c r="ND32" s="84" t="s">
        <v>1096</v>
      </c>
      <c r="NE32" s="84" t="s">
        <v>1097</v>
      </c>
      <c r="NF32" s="84" t="s">
        <v>1097</v>
      </c>
      <c r="NG32" s="1251" t="s">
        <v>1096</v>
      </c>
      <c r="NH32" s="84" t="s">
        <v>1096</v>
      </c>
      <c r="NI32" s="84" t="s">
        <v>1097</v>
      </c>
      <c r="NJ32" s="84" t="s">
        <v>1097</v>
      </c>
      <c r="NK32" s="1251" t="s">
        <v>1096</v>
      </c>
      <c r="NL32" s="84" t="s">
        <v>1096</v>
      </c>
      <c r="NM32" s="84" t="s">
        <v>1097</v>
      </c>
      <c r="NN32" s="84" t="s">
        <v>1097</v>
      </c>
      <c r="NO32" s="1251" t="s">
        <v>1096</v>
      </c>
      <c r="NP32" s="84" t="s">
        <v>1096</v>
      </c>
      <c r="NQ32" s="84" t="s">
        <v>1097</v>
      </c>
      <c r="NR32" s="84" t="s">
        <v>1097</v>
      </c>
      <c r="NS32" s="1251" t="s">
        <v>1096</v>
      </c>
      <c r="NT32" s="84" t="s">
        <v>1096</v>
      </c>
      <c r="NU32" s="84" t="s">
        <v>1097</v>
      </c>
      <c r="NV32" s="84" t="s">
        <v>1097</v>
      </c>
      <c r="NW32" s="1251" t="s">
        <v>1096</v>
      </c>
      <c r="NX32" s="84" t="s">
        <v>1096</v>
      </c>
      <c r="NY32" s="84" t="s">
        <v>1097</v>
      </c>
      <c r="NZ32" s="84" t="s">
        <v>1097</v>
      </c>
      <c r="OA32" s="1251" t="s">
        <v>1096</v>
      </c>
      <c r="OB32" s="84" t="s">
        <v>1096</v>
      </c>
      <c r="OC32" s="84" t="s">
        <v>1097</v>
      </c>
      <c r="OD32" s="84" t="s">
        <v>1097</v>
      </c>
      <c r="OE32" s="1251" t="s">
        <v>1096</v>
      </c>
      <c r="OF32" s="84" t="s">
        <v>1096</v>
      </c>
      <c r="OG32" s="84" t="s">
        <v>1097</v>
      </c>
      <c r="OH32" s="84" t="s">
        <v>1097</v>
      </c>
      <c r="OI32" s="1251" t="s">
        <v>1096</v>
      </c>
      <c r="OJ32" s="84" t="s">
        <v>1096</v>
      </c>
      <c r="OK32" s="84" t="s">
        <v>1097</v>
      </c>
      <c r="OL32" s="84" t="s">
        <v>1097</v>
      </c>
      <c r="OM32" s="1251" t="s">
        <v>1096</v>
      </c>
      <c r="ON32" s="84" t="s">
        <v>1096</v>
      </c>
      <c r="OO32" s="84" t="s">
        <v>1097</v>
      </c>
      <c r="OP32" s="84" t="s">
        <v>1097</v>
      </c>
      <c r="OQ32" s="1251" t="s">
        <v>1096</v>
      </c>
      <c r="OR32" s="84" t="s">
        <v>1096</v>
      </c>
      <c r="OS32" s="84" t="s">
        <v>1097</v>
      </c>
      <c r="OT32" s="84" t="s">
        <v>1097</v>
      </c>
      <c r="OU32" s="1251" t="s">
        <v>1096</v>
      </c>
      <c r="OV32" s="84" t="s">
        <v>1096</v>
      </c>
      <c r="OW32" s="84" t="s">
        <v>1097</v>
      </c>
      <c r="OX32" s="84" t="s">
        <v>1097</v>
      </c>
      <c r="OY32" s="1251" t="s">
        <v>1096</v>
      </c>
      <c r="OZ32" s="84" t="s">
        <v>1096</v>
      </c>
      <c r="PA32" s="84" t="s">
        <v>1097</v>
      </c>
      <c r="PB32" s="84" t="s">
        <v>1097</v>
      </c>
      <c r="PC32" s="1251" t="s">
        <v>1096</v>
      </c>
      <c r="PD32" s="84" t="s">
        <v>1096</v>
      </c>
      <c r="PE32" s="84" t="s">
        <v>1097</v>
      </c>
      <c r="PF32" s="84" t="s">
        <v>1097</v>
      </c>
      <c r="PG32" s="1251" t="s">
        <v>1096</v>
      </c>
      <c r="PH32" s="84" t="s">
        <v>1096</v>
      </c>
      <c r="PI32" s="84" t="s">
        <v>1097</v>
      </c>
      <c r="PJ32" s="84" t="s">
        <v>1097</v>
      </c>
      <c r="PK32" s="1251" t="s">
        <v>1096</v>
      </c>
      <c r="PL32" s="84" t="s">
        <v>1096</v>
      </c>
      <c r="PM32" s="84" t="s">
        <v>1097</v>
      </c>
      <c r="PN32" s="84" t="s">
        <v>1097</v>
      </c>
      <c r="PO32" s="1251" t="s">
        <v>1096</v>
      </c>
      <c r="PP32" s="84" t="s">
        <v>1096</v>
      </c>
      <c r="PQ32" s="84" t="s">
        <v>1097</v>
      </c>
      <c r="PR32" s="84" t="s">
        <v>1097</v>
      </c>
      <c r="PS32" s="1251" t="s">
        <v>1096</v>
      </c>
      <c r="PT32" s="84" t="s">
        <v>1096</v>
      </c>
      <c r="PU32" s="84" t="s">
        <v>1097</v>
      </c>
      <c r="PV32" s="84" t="s">
        <v>1097</v>
      </c>
      <c r="PW32" s="1251" t="s">
        <v>1096</v>
      </c>
      <c r="PX32" s="84" t="s">
        <v>1096</v>
      </c>
      <c r="PY32" s="84" t="s">
        <v>1097</v>
      </c>
      <c r="PZ32" s="84" t="s">
        <v>1097</v>
      </c>
      <c r="QB32" s="33" t="s">
        <v>1072</v>
      </c>
    </row>
    <row r="33" spans="1:542" s="33" customFormat="1" x14ac:dyDescent="0.25">
      <c r="A33"/>
      <c r="B33" s="1480">
        <f>D33-C33</f>
        <v>20</v>
      </c>
      <c r="C33" s="981">
        <v>20</v>
      </c>
      <c r="D33" s="981">
        <v>40</v>
      </c>
      <c r="E33" s="257"/>
      <c r="F33" s="257" t="s">
        <v>1141</v>
      </c>
      <c r="G33" s="257" t="s">
        <v>1140</v>
      </c>
      <c r="H33" s="1385" t="s">
        <v>1137</v>
      </c>
      <c r="I33" s="257" t="s">
        <v>1138</v>
      </c>
      <c r="J33" s="1385" t="s">
        <v>1139</v>
      </c>
      <c r="K33" s="1386" t="s">
        <v>1241</v>
      </c>
      <c r="L33" s="647" t="s">
        <v>746</v>
      </c>
      <c r="M33" s="140"/>
      <c r="N33" s="1458"/>
      <c r="O33" s="1467" t="s">
        <v>5</v>
      </c>
      <c r="P33" s="1469">
        <v>100</v>
      </c>
      <c r="Q33" s="1470">
        <v>100</v>
      </c>
      <c r="R33" s="1460"/>
      <c r="S33" s="1460"/>
      <c r="T33" s="1460"/>
      <c r="U33" s="1460"/>
      <c r="V33" s="1460"/>
      <c r="W33" s="1461"/>
      <c r="X33"/>
      <c r="Y33"/>
      <c r="Z33"/>
      <c r="AA33"/>
      <c r="AB33"/>
      <c r="AC33"/>
      <c r="AD33" s="7"/>
      <c r="AE33" s="194"/>
      <c r="AF33" s="378"/>
      <c r="AG33" s="378"/>
      <c r="AH33" s="378"/>
      <c r="AI33" s="378"/>
      <c r="AJ33" s="799"/>
      <c r="AK33" s="799"/>
      <c r="AL33" s="799"/>
      <c r="AM33" s="799"/>
      <c r="AN33" s="799"/>
      <c r="AO33" s="799"/>
      <c r="AP33" s="799"/>
      <c r="AQ33" s="799"/>
      <c r="AR33" s="140"/>
      <c r="AS33" s="194"/>
      <c r="AT33" s="8"/>
      <c r="AU33" s="8"/>
      <c r="AV33" s="8"/>
      <c r="AW33" s="8"/>
      <c r="AX33" s="8"/>
      <c r="AZ33" s="7" t="s">
        <v>1072</v>
      </c>
      <c r="ER33" s="7" t="s">
        <v>1072</v>
      </c>
      <c r="ES33" s="1375"/>
      <c r="ET33" s="7" t="s">
        <v>1072</v>
      </c>
      <c r="EU33" s="1375"/>
      <c r="EV33" s="1375"/>
      <c r="EW33" s="1375"/>
      <c r="EX33" s="1375"/>
      <c r="EY33" s="1375"/>
      <c r="EZ33" s="1375"/>
      <c r="FA33" s="1375"/>
      <c r="FB33" s="1375"/>
      <c r="FC33" s="1375"/>
      <c r="FD33" s="1375"/>
      <c r="FE33" s="1375"/>
      <c r="FF33" s="1375"/>
      <c r="FG33" s="1375"/>
      <c r="FH33" s="1375"/>
      <c r="FI33" s="1375"/>
      <c r="FJ33" s="1375"/>
      <c r="FK33" s="1375"/>
      <c r="FL33" s="1375"/>
      <c r="FM33" s="1375"/>
      <c r="FN33" s="1375"/>
      <c r="FO33" s="1375"/>
      <c r="FP33" s="1375"/>
      <c r="FQ33" s="1375"/>
      <c r="FR33" s="1375"/>
      <c r="FS33" s="1375"/>
      <c r="FT33" s="1375"/>
      <c r="FU33" s="1375"/>
      <c r="FV33" s="1375"/>
      <c r="FW33" s="1375"/>
      <c r="FX33" s="1375"/>
      <c r="FY33" s="1375"/>
      <c r="FZ33" s="1375"/>
      <c r="GA33" s="1375"/>
      <c r="GB33" s="1375"/>
      <c r="GC33" s="1375"/>
      <c r="GD33" s="1375"/>
      <c r="GE33" s="1375"/>
      <c r="GF33" s="1375"/>
      <c r="GG33" s="1375"/>
      <c r="GH33" s="1375"/>
      <c r="GI33" s="1375"/>
      <c r="GJ33" s="1375"/>
      <c r="GK33" s="1375"/>
      <c r="GL33" s="1375"/>
      <c r="GM33" s="1375"/>
      <c r="GN33" s="1375"/>
      <c r="GO33" s="1375"/>
      <c r="GP33" s="1375"/>
      <c r="GQ33" s="1375"/>
      <c r="GR33" s="1375"/>
      <c r="GS33" s="1375"/>
      <c r="GT33" s="1375"/>
      <c r="GU33" s="1375"/>
      <c r="GV33" s="1375"/>
      <c r="GW33" s="1375"/>
      <c r="GX33" s="1375"/>
      <c r="GY33" s="1375"/>
      <c r="GZ33" s="1375"/>
      <c r="HA33" s="1375"/>
      <c r="HB33" s="1375"/>
      <c r="HC33" s="1375"/>
      <c r="HD33" s="7"/>
      <c r="JN33" s="140"/>
      <c r="JO33" s="140"/>
      <c r="JP33" s="140"/>
      <c r="JQ33" s="194"/>
      <c r="JR33" s="140"/>
      <c r="JS33" s="140"/>
      <c r="JT33" s="140"/>
      <c r="JU33" s="140"/>
      <c r="JV33" s="140"/>
      <c r="KG33" s="7" t="s">
        <v>1072</v>
      </c>
      <c r="KH33" s="7"/>
      <c r="KI33" s="7"/>
      <c r="KJ33" s="7"/>
      <c r="KK33" s="7"/>
      <c r="KL33" s="140"/>
      <c r="KM33" s="1251" t="s">
        <v>1094</v>
      </c>
      <c r="KN33" s="1251" t="s">
        <v>1094</v>
      </c>
      <c r="KO33" s="1251" t="s">
        <v>1094</v>
      </c>
      <c r="KP33" s="1251" t="s">
        <v>1094</v>
      </c>
      <c r="KQ33" s="1075" t="s">
        <v>1095</v>
      </c>
      <c r="KR33" s="1075" t="s">
        <v>1095</v>
      </c>
      <c r="KS33" s="1075" t="s">
        <v>1095</v>
      </c>
      <c r="KT33" s="1075" t="s">
        <v>1095</v>
      </c>
      <c r="KU33" s="1251" t="s">
        <v>1094</v>
      </c>
      <c r="KV33" s="1251" t="s">
        <v>1094</v>
      </c>
      <c r="KW33" s="1251" t="s">
        <v>1094</v>
      </c>
      <c r="KX33" s="1251" t="s">
        <v>1094</v>
      </c>
      <c r="KY33" s="1075" t="s">
        <v>1095</v>
      </c>
      <c r="KZ33" s="1075" t="s">
        <v>1095</v>
      </c>
      <c r="LA33" s="1075" t="s">
        <v>1095</v>
      </c>
      <c r="LB33" s="1075" t="s">
        <v>1095</v>
      </c>
      <c r="LC33" s="1251" t="s">
        <v>1094</v>
      </c>
      <c r="LD33" s="1251" t="s">
        <v>1094</v>
      </c>
      <c r="LE33" s="1251" t="s">
        <v>1094</v>
      </c>
      <c r="LF33" s="1251" t="s">
        <v>1094</v>
      </c>
      <c r="LG33" s="1075" t="s">
        <v>1095</v>
      </c>
      <c r="LH33" s="1075" t="s">
        <v>1095</v>
      </c>
      <c r="LI33" s="1075" t="s">
        <v>1095</v>
      </c>
      <c r="LJ33" s="1075" t="s">
        <v>1095</v>
      </c>
      <c r="LK33" s="1251" t="s">
        <v>1094</v>
      </c>
      <c r="LL33" s="1251" t="s">
        <v>1094</v>
      </c>
      <c r="LM33" s="1251" t="s">
        <v>1094</v>
      </c>
      <c r="LN33" s="1251" t="s">
        <v>1094</v>
      </c>
      <c r="LO33" s="1075" t="s">
        <v>1095</v>
      </c>
      <c r="LP33" s="1075" t="s">
        <v>1095</v>
      </c>
      <c r="LQ33" s="1075" t="s">
        <v>1095</v>
      </c>
      <c r="LR33" s="1075" t="s">
        <v>1095</v>
      </c>
      <c r="LS33" s="1251" t="s">
        <v>1094</v>
      </c>
      <c r="LT33" s="1251" t="s">
        <v>1094</v>
      </c>
      <c r="LU33" s="1251" t="s">
        <v>1094</v>
      </c>
      <c r="LV33" s="1251" t="s">
        <v>1094</v>
      </c>
      <c r="LW33" s="1075" t="s">
        <v>1095</v>
      </c>
      <c r="LX33" s="1075" t="s">
        <v>1095</v>
      </c>
      <c r="LY33" s="1075" t="s">
        <v>1095</v>
      </c>
      <c r="LZ33" s="1075" t="s">
        <v>1095</v>
      </c>
      <c r="MA33" s="1251" t="s">
        <v>1094</v>
      </c>
      <c r="MB33" s="1251" t="s">
        <v>1094</v>
      </c>
      <c r="MC33" s="1251" t="s">
        <v>1094</v>
      </c>
      <c r="MD33" s="1251" t="s">
        <v>1094</v>
      </c>
      <c r="ME33" s="1075" t="s">
        <v>1095</v>
      </c>
      <c r="MF33" s="1075" t="s">
        <v>1095</v>
      </c>
      <c r="MG33" s="1075" t="s">
        <v>1095</v>
      </c>
      <c r="MH33" s="1075" t="s">
        <v>1095</v>
      </c>
      <c r="MI33" s="1251" t="s">
        <v>1094</v>
      </c>
      <c r="MJ33" s="1251" t="s">
        <v>1094</v>
      </c>
      <c r="MK33" s="1251" t="s">
        <v>1094</v>
      </c>
      <c r="ML33" s="1251" t="s">
        <v>1094</v>
      </c>
      <c r="MM33" s="1075" t="s">
        <v>1095</v>
      </c>
      <c r="MN33" s="1075" t="s">
        <v>1095</v>
      </c>
      <c r="MO33" s="1075" t="s">
        <v>1095</v>
      </c>
      <c r="MP33" s="1075" t="s">
        <v>1095</v>
      </c>
      <c r="MQ33" s="1251" t="s">
        <v>1094</v>
      </c>
      <c r="MR33" s="1251" t="s">
        <v>1094</v>
      </c>
      <c r="MS33" s="1251" t="s">
        <v>1094</v>
      </c>
      <c r="MT33" s="1251" t="s">
        <v>1094</v>
      </c>
      <c r="MU33" s="1075" t="s">
        <v>1095</v>
      </c>
      <c r="MV33" s="1075" t="s">
        <v>1095</v>
      </c>
      <c r="MW33" s="1075" t="s">
        <v>1095</v>
      </c>
      <c r="MX33" s="1075" t="s">
        <v>1095</v>
      </c>
      <c r="MY33" s="1251" t="s">
        <v>1094</v>
      </c>
      <c r="MZ33" s="1251" t="s">
        <v>1094</v>
      </c>
      <c r="NA33" s="1251" t="s">
        <v>1094</v>
      </c>
      <c r="NB33" s="1251" t="s">
        <v>1094</v>
      </c>
      <c r="NC33" s="1075" t="s">
        <v>1095</v>
      </c>
      <c r="ND33" s="1075" t="s">
        <v>1095</v>
      </c>
      <c r="NE33" s="1075" t="s">
        <v>1095</v>
      </c>
      <c r="NF33" s="1075" t="s">
        <v>1095</v>
      </c>
      <c r="NG33" s="1251" t="s">
        <v>1094</v>
      </c>
      <c r="NH33" s="1251" t="s">
        <v>1094</v>
      </c>
      <c r="NI33" s="1251" t="s">
        <v>1094</v>
      </c>
      <c r="NJ33" s="1251" t="s">
        <v>1094</v>
      </c>
      <c r="NK33" s="1075" t="s">
        <v>1095</v>
      </c>
      <c r="NL33" s="1075" t="s">
        <v>1095</v>
      </c>
      <c r="NM33" s="1075" t="s">
        <v>1095</v>
      </c>
      <c r="NN33" s="1075" t="s">
        <v>1095</v>
      </c>
      <c r="NO33" s="1251" t="s">
        <v>1094</v>
      </c>
      <c r="NP33" s="1251" t="s">
        <v>1094</v>
      </c>
      <c r="NQ33" s="1251" t="s">
        <v>1094</v>
      </c>
      <c r="NR33" s="1251" t="s">
        <v>1094</v>
      </c>
      <c r="NS33" s="1075" t="s">
        <v>1095</v>
      </c>
      <c r="NT33" s="1075" t="s">
        <v>1095</v>
      </c>
      <c r="NU33" s="1075" t="s">
        <v>1095</v>
      </c>
      <c r="NV33" s="1075" t="s">
        <v>1095</v>
      </c>
      <c r="NW33" s="1251" t="s">
        <v>1094</v>
      </c>
      <c r="NX33" s="1251" t="s">
        <v>1094</v>
      </c>
      <c r="NY33" s="1251" t="s">
        <v>1094</v>
      </c>
      <c r="NZ33" s="1251" t="s">
        <v>1094</v>
      </c>
      <c r="OA33" s="1075" t="s">
        <v>1095</v>
      </c>
      <c r="OB33" s="1075" t="s">
        <v>1095</v>
      </c>
      <c r="OC33" s="1075" t="s">
        <v>1095</v>
      </c>
      <c r="OD33" s="1075" t="s">
        <v>1095</v>
      </c>
      <c r="OE33" s="1251" t="s">
        <v>1094</v>
      </c>
      <c r="OF33" s="1251" t="s">
        <v>1094</v>
      </c>
      <c r="OG33" s="1251" t="s">
        <v>1094</v>
      </c>
      <c r="OH33" s="1251" t="s">
        <v>1094</v>
      </c>
      <c r="OI33" s="1075" t="s">
        <v>1095</v>
      </c>
      <c r="OJ33" s="1075" t="s">
        <v>1095</v>
      </c>
      <c r="OK33" s="1075" t="s">
        <v>1095</v>
      </c>
      <c r="OL33" s="1075" t="s">
        <v>1095</v>
      </c>
      <c r="OM33" s="1251" t="s">
        <v>1094</v>
      </c>
      <c r="ON33" s="1251" t="s">
        <v>1094</v>
      </c>
      <c r="OO33" s="1251" t="s">
        <v>1094</v>
      </c>
      <c r="OP33" s="1251" t="s">
        <v>1094</v>
      </c>
      <c r="OQ33" s="1075" t="s">
        <v>1095</v>
      </c>
      <c r="OR33" s="1075" t="s">
        <v>1095</v>
      </c>
      <c r="OS33" s="1075" t="s">
        <v>1095</v>
      </c>
      <c r="OT33" s="1075" t="s">
        <v>1095</v>
      </c>
      <c r="OU33" s="1251" t="s">
        <v>1094</v>
      </c>
      <c r="OV33" s="1251" t="s">
        <v>1094</v>
      </c>
      <c r="OW33" s="1251" t="s">
        <v>1094</v>
      </c>
      <c r="OX33" s="1251" t="s">
        <v>1094</v>
      </c>
      <c r="OY33" s="1075" t="s">
        <v>1095</v>
      </c>
      <c r="OZ33" s="1075" t="s">
        <v>1095</v>
      </c>
      <c r="PA33" s="1075" t="s">
        <v>1095</v>
      </c>
      <c r="PB33" s="1075" t="s">
        <v>1095</v>
      </c>
      <c r="PC33" s="1251" t="s">
        <v>1094</v>
      </c>
      <c r="PD33" s="1251" t="s">
        <v>1094</v>
      </c>
      <c r="PE33" s="1251" t="s">
        <v>1094</v>
      </c>
      <c r="PF33" s="1251" t="s">
        <v>1094</v>
      </c>
      <c r="PG33" s="1075" t="s">
        <v>1095</v>
      </c>
      <c r="PH33" s="1075" t="s">
        <v>1095</v>
      </c>
      <c r="PI33" s="1075" t="s">
        <v>1095</v>
      </c>
      <c r="PJ33" s="1075" t="s">
        <v>1095</v>
      </c>
      <c r="PK33" s="1251" t="s">
        <v>1094</v>
      </c>
      <c r="PL33" s="1251" t="s">
        <v>1094</v>
      </c>
      <c r="PM33" s="1251" t="s">
        <v>1094</v>
      </c>
      <c r="PN33" s="1251" t="s">
        <v>1094</v>
      </c>
      <c r="PO33" s="1075" t="s">
        <v>1095</v>
      </c>
      <c r="PP33" s="1075" t="s">
        <v>1095</v>
      </c>
      <c r="PQ33" s="1075" t="s">
        <v>1095</v>
      </c>
      <c r="PR33" s="1075" t="s">
        <v>1095</v>
      </c>
      <c r="PS33" s="1251" t="s">
        <v>1094</v>
      </c>
      <c r="PT33" s="1251" t="s">
        <v>1094</v>
      </c>
      <c r="PU33" s="1251" t="s">
        <v>1094</v>
      </c>
      <c r="PV33" s="1251" t="s">
        <v>1094</v>
      </c>
      <c r="PW33" s="1075" t="s">
        <v>1095</v>
      </c>
      <c r="PX33" s="1075" t="s">
        <v>1095</v>
      </c>
      <c r="PY33" s="1075" t="s">
        <v>1095</v>
      </c>
      <c r="PZ33" s="1075" t="s">
        <v>1095</v>
      </c>
      <c r="QB33" s="33" t="s">
        <v>1072</v>
      </c>
    </row>
    <row r="34" spans="1:542" s="33" customFormat="1" x14ac:dyDescent="0.25">
      <c r="A34"/>
      <c r="B34"/>
      <c r="C34" s="1376"/>
      <c r="D34" s="140"/>
      <c r="E34" s="140"/>
      <c r="F34" s="8"/>
      <c r="G34" s="140"/>
      <c r="H34" s="647"/>
      <c r="I34" s="140"/>
      <c r="J34" s="140"/>
      <c r="K34" s="140"/>
      <c r="L34" s="140"/>
      <c r="M34" s="140"/>
      <c r="N34" s="1458"/>
      <c r="O34" s="1467" t="s">
        <v>913</v>
      </c>
      <c r="P34" s="1471">
        <f>3*3*2</f>
        <v>18</v>
      </c>
      <c r="Q34" s="1472">
        <f>(3*3)*(2^4)</f>
        <v>144</v>
      </c>
      <c r="R34" s="1460"/>
      <c r="S34" s="1460"/>
      <c r="T34" s="1460"/>
      <c r="U34" s="1460"/>
      <c r="V34" s="1460"/>
      <c r="W34" s="1461"/>
      <c r="X34"/>
      <c r="Y34"/>
      <c r="Z34"/>
      <c r="AA34"/>
      <c r="AB34"/>
      <c r="AC34"/>
      <c r="AD34" s="7"/>
      <c r="AE34" s="194"/>
      <c r="AF34" s="378"/>
      <c r="AG34" s="378"/>
      <c r="AH34" s="378"/>
      <c r="AI34" s="378"/>
      <c r="AJ34" s="799"/>
      <c r="AK34" s="799"/>
      <c r="AL34" s="799"/>
      <c r="AM34" s="799"/>
      <c r="AN34" s="799"/>
      <c r="AO34" s="799"/>
      <c r="AP34" s="799"/>
      <c r="AQ34" s="799"/>
      <c r="AR34" s="140"/>
      <c r="AS34" s="194"/>
      <c r="AT34" s="8"/>
      <c r="AU34" s="8"/>
      <c r="AV34" s="8"/>
      <c r="AW34" s="8"/>
      <c r="AX34" s="8"/>
      <c r="AZ34" s="7" t="s">
        <v>1072</v>
      </c>
      <c r="ER34" s="7" t="s">
        <v>1072</v>
      </c>
      <c r="ES34" s="1375"/>
      <c r="ET34" s="7" t="s">
        <v>1072</v>
      </c>
      <c r="EU34" s="1375"/>
      <c r="EV34" s="1375"/>
      <c r="EW34" s="1375"/>
      <c r="EX34" s="1375"/>
      <c r="EY34" s="1375"/>
      <c r="EZ34" s="1375"/>
      <c r="FA34" s="1375"/>
      <c r="FB34" s="1375"/>
      <c r="FC34" s="1375"/>
      <c r="FD34" s="1375"/>
      <c r="FE34" s="1375"/>
      <c r="FF34" s="1375"/>
      <c r="FG34" s="1375"/>
      <c r="FH34" s="1375"/>
      <c r="FI34" s="1375"/>
      <c r="FJ34" s="1375"/>
      <c r="FK34" s="1375"/>
      <c r="FL34" s="1375"/>
      <c r="FM34" s="1375"/>
      <c r="FN34" s="1375"/>
      <c r="FO34" s="1375"/>
      <c r="FP34" s="1375"/>
      <c r="FQ34" s="1375"/>
      <c r="FR34" s="1375"/>
      <c r="FS34" s="1375"/>
      <c r="FT34" s="1375"/>
      <c r="FU34" s="1375"/>
      <c r="FV34" s="1375"/>
      <c r="FW34" s="1375"/>
      <c r="FX34" s="1375"/>
      <c r="FY34" s="1375"/>
      <c r="FZ34" s="1375"/>
      <c r="GA34" s="1375"/>
      <c r="GB34" s="1375"/>
      <c r="GC34" s="1375"/>
      <c r="GD34" s="1375"/>
      <c r="GE34" s="1375"/>
      <c r="GF34" s="1375"/>
      <c r="GG34" s="1375"/>
      <c r="GH34" s="1375"/>
      <c r="GI34" s="1375"/>
      <c r="GJ34" s="1375"/>
      <c r="GK34" s="1375"/>
      <c r="GL34" s="1375"/>
      <c r="GM34" s="1375"/>
      <c r="GN34" s="1375"/>
      <c r="GO34" s="1375"/>
      <c r="GP34" s="1375"/>
      <c r="GQ34" s="1375"/>
      <c r="GR34" s="1375"/>
      <c r="GS34" s="1375"/>
      <c r="GT34" s="1375"/>
      <c r="GU34" s="1375"/>
      <c r="GV34" s="1375"/>
      <c r="GW34" s="1375"/>
      <c r="GX34" s="1375"/>
      <c r="GY34" s="1375"/>
      <c r="GZ34" s="1375"/>
      <c r="HA34" s="1375"/>
      <c r="HB34" s="1375"/>
      <c r="HC34" s="1375"/>
      <c r="HD34" s="7"/>
      <c r="JN34" s="140"/>
      <c r="JO34" s="140"/>
      <c r="JP34" s="140"/>
      <c r="JQ34" s="194"/>
      <c r="JR34" s="140"/>
      <c r="JS34" s="140"/>
      <c r="JT34" s="140"/>
      <c r="JU34" s="140"/>
      <c r="JV34" s="140"/>
      <c r="KG34" s="7" t="s">
        <v>1072</v>
      </c>
      <c r="KH34" s="7"/>
      <c r="KI34" s="7"/>
      <c r="KJ34" s="7"/>
      <c r="KK34" s="7"/>
      <c r="KL34" s="140"/>
      <c r="KM34" s="1251" t="s">
        <v>1092</v>
      </c>
      <c r="KN34" s="1251" t="s">
        <v>1092</v>
      </c>
      <c r="KO34" s="1251" t="s">
        <v>1092</v>
      </c>
      <c r="KP34" s="1251" t="s">
        <v>1092</v>
      </c>
      <c r="KQ34" s="1251" t="s">
        <v>1092</v>
      </c>
      <c r="KR34" s="1251" t="s">
        <v>1092</v>
      </c>
      <c r="KS34" s="1251" t="s">
        <v>1092</v>
      </c>
      <c r="KT34" s="1251" t="s">
        <v>1092</v>
      </c>
      <c r="KU34" s="1075" t="s">
        <v>1093</v>
      </c>
      <c r="KV34" s="1075" t="s">
        <v>1093</v>
      </c>
      <c r="KW34" s="1075" t="s">
        <v>1093</v>
      </c>
      <c r="KX34" s="1075" t="s">
        <v>1093</v>
      </c>
      <c r="KY34" s="1075" t="s">
        <v>1093</v>
      </c>
      <c r="KZ34" s="1075" t="s">
        <v>1093</v>
      </c>
      <c r="LA34" s="1075" t="s">
        <v>1093</v>
      </c>
      <c r="LB34" s="1075" t="s">
        <v>1093</v>
      </c>
      <c r="LC34" s="1251" t="s">
        <v>1092</v>
      </c>
      <c r="LD34" s="1251" t="s">
        <v>1092</v>
      </c>
      <c r="LE34" s="1251" t="s">
        <v>1092</v>
      </c>
      <c r="LF34" s="1251" t="s">
        <v>1092</v>
      </c>
      <c r="LG34" s="1251" t="s">
        <v>1092</v>
      </c>
      <c r="LH34" s="1251" t="s">
        <v>1092</v>
      </c>
      <c r="LI34" s="1251" t="s">
        <v>1092</v>
      </c>
      <c r="LJ34" s="1251" t="s">
        <v>1092</v>
      </c>
      <c r="LK34" s="1075" t="s">
        <v>1093</v>
      </c>
      <c r="LL34" s="1075" t="s">
        <v>1093</v>
      </c>
      <c r="LM34" s="1075" t="s">
        <v>1093</v>
      </c>
      <c r="LN34" s="1075" t="s">
        <v>1093</v>
      </c>
      <c r="LO34" s="1075" t="s">
        <v>1093</v>
      </c>
      <c r="LP34" s="1075" t="s">
        <v>1093</v>
      </c>
      <c r="LQ34" s="1075" t="s">
        <v>1093</v>
      </c>
      <c r="LR34" s="1075" t="s">
        <v>1093</v>
      </c>
      <c r="LS34" s="1251" t="s">
        <v>1092</v>
      </c>
      <c r="LT34" s="1251" t="s">
        <v>1092</v>
      </c>
      <c r="LU34" s="1251" t="s">
        <v>1092</v>
      </c>
      <c r="LV34" s="1251" t="s">
        <v>1092</v>
      </c>
      <c r="LW34" s="1251" t="s">
        <v>1092</v>
      </c>
      <c r="LX34" s="1251" t="s">
        <v>1092</v>
      </c>
      <c r="LY34" s="1251" t="s">
        <v>1092</v>
      </c>
      <c r="LZ34" s="1251" t="s">
        <v>1092</v>
      </c>
      <c r="MA34" s="1075" t="s">
        <v>1093</v>
      </c>
      <c r="MB34" s="1075" t="s">
        <v>1093</v>
      </c>
      <c r="MC34" s="1075" t="s">
        <v>1093</v>
      </c>
      <c r="MD34" s="1075" t="s">
        <v>1093</v>
      </c>
      <c r="ME34" s="1075" t="s">
        <v>1093</v>
      </c>
      <c r="MF34" s="1075" t="s">
        <v>1093</v>
      </c>
      <c r="MG34" s="1075" t="s">
        <v>1093</v>
      </c>
      <c r="MH34" s="1075" t="s">
        <v>1093</v>
      </c>
      <c r="MI34" s="1251" t="s">
        <v>1092</v>
      </c>
      <c r="MJ34" s="1251" t="s">
        <v>1092</v>
      </c>
      <c r="MK34" s="1251" t="s">
        <v>1092</v>
      </c>
      <c r="ML34" s="1251" t="s">
        <v>1092</v>
      </c>
      <c r="MM34" s="1251" t="s">
        <v>1092</v>
      </c>
      <c r="MN34" s="1251" t="s">
        <v>1092</v>
      </c>
      <c r="MO34" s="1251" t="s">
        <v>1092</v>
      </c>
      <c r="MP34" s="1251" t="s">
        <v>1092</v>
      </c>
      <c r="MQ34" s="1075" t="s">
        <v>1093</v>
      </c>
      <c r="MR34" s="1075" t="s">
        <v>1093</v>
      </c>
      <c r="MS34" s="1075" t="s">
        <v>1093</v>
      </c>
      <c r="MT34" s="1075" t="s">
        <v>1093</v>
      </c>
      <c r="MU34" s="1075" t="s">
        <v>1093</v>
      </c>
      <c r="MV34" s="1075" t="s">
        <v>1093</v>
      </c>
      <c r="MW34" s="1075" t="s">
        <v>1093</v>
      </c>
      <c r="MX34" s="1075" t="s">
        <v>1093</v>
      </c>
      <c r="MY34" s="1251" t="s">
        <v>1092</v>
      </c>
      <c r="MZ34" s="1251" t="s">
        <v>1092</v>
      </c>
      <c r="NA34" s="1251" t="s">
        <v>1092</v>
      </c>
      <c r="NB34" s="1251" t="s">
        <v>1092</v>
      </c>
      <c r="NC34" s="1251" t="s">
        <v>1092</v>
      </c>
      <c r="ND34" s="1251" t="s">
        <v>1092</v>
      </c>
      <c r="NE34" s="1251" t="s">
        <v>1092</v>
      </c>
      <c r="NF34" s="1251" t="s">
        <v>1092</v>
      </c>
      <c r="NG34" s="1075" t="s">
        <v>1093</v>
      </c>
      <c r="NH34" s="1075" t="s">
        <v>1093</v>
      </c>
      <c r="NI34" s="1075" t="s">
        <v>1093</v>
      </c>
      <c r="NJ34" s="1075" t="s">
        <v>1093</v>
      </c>
      <c r="NK34" s="1075" t="s">
        <v>1093</v>
      </c>
      <c r="NL34" s="1075" t="s">
        <v>1093</v>
      </c>
      <c r="NM34" s="1075" t="s">
        <v>1093</v>
      </c>
      <c r="NN34" s="1075" t="s">
        <v>1093</v>
      </c>
      <c r="NO34" s="1251" t="s">
        <v>1092</v>
      </c>
      <c r="NP34" s="1251" t="s">
        <v>1092</v>
      </c>
      <c r="NQ34" s="1251" t="s">
        <v>1092</v>
      </c>
      <c r="NR34" s="1251" t="s">
        <v>1092</v>
      </c>
      <c r="NS34" s="1251" t="s">
        <v>1092</v>
      </c>
      <c r="NT34" s="1251" t="s">
        <v>1092</v>
      </c>
      <c r="NU34" s="1251" t="s">
        <v>1092</v>
      </c>
      <c r="NV34" s="1251" t="s">
        <v>1092</v>
      </c>
      <c r="NW34" s="1075" t="s">
        <v>1093</v>
      </c>
      <c r="NX34" s="1075" t="s">
        <v>1093</v>
      </c>
      <c r="NY34" s="1075" t="s">
        <v>1093</v>
      </c>
      <c r="NZ34" s="1075" t="s">
        <v>1093</v>
      </c>
      <c r="OA34" s="1075" t="s">
        <v>1093</v>
      </c>
      <c r="OB34" s="1075" t="s">
        <v>1093</v>
      </c>
      <c r="OC34" s="1075" t="s">
        <v>1093</v>
      </c>
      <c r="OD34" s="1075" t="s">
        <v>1093</v>
      </c>
      <c r="OE34" s="1251" t="s">
        <v>1092</v>
      </c>
      <c r="OF34" s="1251" t="s">
        <v>1092</v>
      </c>
      <c r="OG34" s="1251" t="s">
        <v>1092</v>
      </c>
      <c r="OH34" s="1251" t="s">
        <v>1092</v>
      </c>
      <c r="OI34" s="1251" t="s">
        <v>1092</v>
      </c>
      <c r="OJ34" s="1251" t="s">
        <v>1092</v>
      </c>
      <c r="OK34" s="1251" t="s">
        <v>1092</v>
      </c>
      <c r="OL34" s="1251" t="s">
        <v>1092</v>
      </c>
      <c r="OM34" s="1075" t="s">
        <v>1093</v>
      </c>
      <c r="ON34" s="1075" t="s">
        <v>1093</v>
      </c>
      <c r="OO34" s="1075" t="s">
        <v>1093</v>
      </c>
      <c r="OP34" s="1075" t="s">
        <v>1093</v>
      </c>
      <c r="OQ34" s="1075" t="s">
        <v>1093</v>
      </c>
      <c r="OR34" s="1075" t="s">
        <v>1093</v>
      </c>
      <c r="OS34" s="1075" t="s">
        <v>1093</v>
      </c>
      <c r="OT34" s="1075" t="s">
        <v>1093</v>
      </c>
      <c r="OU34" s="1251" t="s">
        <v>1092</v>
      </c>
      <c r="OV34" s="1251" t="s">
        <v>1092</v>
      </c>
      <c r="OW34" s="1251" t="s">
        <v>1092</v>
      </c>
      <c r="OX34" s="1251" t="s">
        <v>1092</v>
      </c>
      <c r="OY34" s="1251" t="s">
        <v>1092</v>
      </c>
      <c r="OZ34" s="1251" t="s">
        <v>1092</v>
      </c>
      <c r="PA34" s="1251" t="s">
        <v>1092</v>
      </c>
      <c r="PB34" s="1251" t="s">
        <v>1092</v>
      </c>
      <c r="PC34" s="1075" t="s">
        <v>1093</v>
      </c>
      <c r="PD34" s="1075" t="s">
        <v>1093</v>
      </c>
      <c r="PE34" s="1075" t="s">
        <v>1093</v>
      </c>
      <c r="PF34" s="1075" t="s">
        <v>1093</v>
      </c>
      <c r="PG34" s="1075" t="s">
        <v>1093</v>
      </c>
      <c r="PH34" s="1075" t="s">
        <v>1093</v>
      </c>
      <c r="PI34" s="1075" t="s">
        <v>1093</v>
      </c>
      <c r="PJ34" s="1075" t="s">
        <v>1093</v>
      </c>
      <c r="PK34" s="1251" t="s">
        <v>1092</v>
      </c>
      <c r="PL34" s="1251" t="s">
        <v>1092</v>
      </c>
      <c r="PM34" s="1251" t="s">
        <v>1092</v>
      </c>
      <c r="PN34" s="1251" t="s">
        <v>1092</v>
      </c>
      <c r="PO34" s="1251" t="s">
        <v>1092</v>
      </c>
      <c r="PP34" s="1251" t="s">
        <v>1092</v>
      </c>
      <c r="PQ34" s="1251" t="s">
        <v>1092</v>
      </c>
      <c r="PR34" s="1251" t="s">
        <v>1092</v>
      </c>
      <c r="PS34" s="1075" t="s">
        <v>1093</v>
      </c>
      <c r="PT34" s="1075" t="s">
        <v>1093</v>
      </c>
      <c r="PU34" s="1075" t="s">
        <v>1093</v>
      </c>
      <c r="PV34" s="1075" t="s">
        <v>1093</v>
      </c>
      <c r="PW34" s="1075" t="s">
        <v>1093</v>
      </c>
      <c r="PX34" s="1075" t="s">
        <v>1093</v>
      </c>
      <c r="PY34" s="1075" t="s">
        <v>1093</v>
      </c>
      <c r="PZ34" s="1075" t="s">
        <v>1093</v>
      </c>
      <c r="QB34" s="33" t="s">
        <v>1072</v>
      </c>
    </row>
    <row r="35" spans="1:542" s="33" customFormat="1" x14ac:dyDescent="0.25">
      <c r="A35"/>
      <c r="B35" s="1379" t="s">
        <v>906</v>
      </c>
      <c r="C35" s="1380" t="s">
        <v>1144</v>
      </c>
      <c r="D35" s="1380"/>
      <c r="E35" s="1380"/>
      <c r="F35" s="1380"/>
      <c r="G35" s="1380"/>
      <c r="H35" s="1380"/>
      <c r="I35" s="1380"/>
      <c r="J35" s="264"/>
      <c r="K35" s="259"/>
      <c r="L35" s="140"/>
      <c r="M35" s="140"/>
      <c r="N35" s="1458"/>
      <c r="O35" s="1473" t="s">
        <v>914</v>
      </c>
      <c r="P35" s="1474">
        <f>LN(P34)</f>
        <v>2.8903717578961645</v>
      </c>
      <c r="Q35" s="1475">
        <f>LN(Q34)</f>
        <v>4.9698132995760007</v>
      </c>
      <c r="R35" s="1460"/>
      <c r="S35" s="1460"/>
      <c r="T35" s="1460"/>
      <c r="U35" s="1460"/>
      <c r="V35" s="1460"/>
      <c r="W35" s="1461"/>
      <c r="X35"/>
      <c r="Y35"/>
      <c r="Z35"/>
      <c r="AA35"/>
      <c r="AB35"/>
      <c r="AC35"/>
      <c r="AD35" s="7"/>
      <c r="AE35" s="194"/>
      <c r="AF35" s="378"/>
      <c r="AG35" s="378"/>
      <c r="AH35" s="378"/>
      <c r="AI35" s="378"/>
      <c r="AJ35" s="799"/>
      <c r="AK35" s="799"/>
      <c r="AL35" s="799"/>
      <c r="AM35" s="799"/>
      <c r="AN35" s="799"/>
      <c r="AO35" s="799"/>
      <c r="AP35" s="799"/>
      <c r="AQ35" s="799"/>
      <c r="AR35" s="140"/>
      <c r="AS35" s="194"/>
      <c r="AT35" s="8"/>
      <c r="AU35" s="8"/>
      <c r="AV35" s="8"/>
      <c r="AW35" s="8"/>
      <c r="AX35" s="8"/>
      <c r="AZ35" s="7" t="s">
        <v>1072</v>
      </c>
      <c r="ER35" s="7" t="s">
        <v>1072</v>
      </c>
      <c r="ES35" s="1375"/>
      <c r="ET35" s="7" t="s">
        <v>1072</v>
      </c>
      <c r="EU35" s="1375"/>
      <c r="EV35" s="1375"/>
      <c r="EW35" s="1375"/>
      <c r="EX35" s="1375"/>
      <c r="EY35" s="1375"/>
      <c r="EZ35" s="1375"/>
      <c r="FA35" s="1375"/>
      <c r="FB35" s="1375"/>
      <c r="FC35" s="1375"/>
      <c r="FD35" s="1375"/>
      <c r="FE35" s="1375"/>
      <c r="FF35" s="1375"/>
      <c r="FG35" s="1375"/>
      <c r="FH35" s="1375"/>
      <c r="FI35" s="1375"/>
      <c r="FJ35" s="1375"/>
      <c r="FK35" s="1375"/>
      <c r="FL35" s="1375"/>
      <c r="FM35" s="1375"/>
      <c r="FN35" s="1375"/>
      <c r="FO35" s="1375"/>
      <c r="FP35" s="1375"/>
      <c r="FQ35" s="1375"/>
      <c r="FR35" s="1375"/>
      <c r="FS35" s="1375"/>
      <c r="FT35" s="1375"/>
      <c r="FU35" s="1375"/>
      <c r="FV35" s="1375"/>
      <c r="FW35" s="1375"/>
      <c r="FX35" s="1375"/>
      <c r="FY35" s="1375"/>
      <c r="FZ35" s="1375"/>
      <c r="GA35" s="1375"/>
      <c r="GB35" s="1375"/>
      <c r="GC35" s="1375"/>
      <c r="GD35" s="1375"/>
      <c r="GE35" s="1375"/>
      <c r="GF35" s="1375"/>
      <c r="GG35" s="1375"/>
      <c r="GH35" s="1375"/>
      <c r="GI35" s="1375"/>
      <c r="GJ35" s="1375"/>
      <c r="GK35" s="1375"/>
      <c r="GL35" s="1375"/>
      <c r="GM35" s="1375"/>
      <c r="GN35" s="1375"/>
      <c r="GO35" s="1375"/>
      <c r="GP35" s="1375"/>
      <c r="GQ35" s="1375"/>
      <c r="GR35" s="1375"/>
      <c r="GS35" s="1375"/>
      <c r="GT35" s="1375"/>
      <c r="GU35" s="1375"/>
      <c r="GV35" s="1375"/>
      <c r="GW35" s="1375"/>
      <c r="GX35" s="1375"/>
      <c r="GY35" s="1375"/>
      <c r="GZ35" s="1375"/>
      <c r="HA35" s="1375"/>
      <c r="HB35" s="1375"/>
      <c r="HC35" s="1375"/>
      <c r="HD35" s="7"/>
      <c r="JN35" s="140"/>
      <c r="JO35" s="140"/>
      <c r="JP35" s="140"/>
      <c r="JQ35" s="194"/>
      <c r="JR35" s="140"/>
      <c r="JS35" s="140"/>
      <c r="JT35" s="140"/>
      <c r="JU35" s="140"/>
      <c r="JV35" s="140"/>
      <c r="KG35" s="7" t="s">
        <v>1072</v>
      </c>
      <c r="KH35" s="7"/>
      <c r="KI35" s="7"/>
      <c r="KJ35" s="7"/>
      <c r="KK35" s="7"/>
      <c r="KL35" s="140"/>
      <c r="KM35" s="1251" t="s">
        <v>1089</v>
      </c>
      <c r="KN35" s="84" t="s">
        <v>1089</v>
      </c>
      <c r="KO35" s="84" t="s">
        <v>1089</v>
      </c>
      <c r="KP35" s="84" t="s">
        <v>1089</v>
      </c>
      <c r="KQ35" s="84" t="s">
        <v>1089</v>
      </c>
      <c r="KR35" s="84" t="s">
        <v>1089</v>
      </c>
      <c r="KS35" s="84" t="s">
        <v>1089</v>
      </c>
      <c r="KT35" s="84" t="s">
        <v>1089</v>
      </c>
      <c r="KU35" s="84" t="s">
        <v>1089</v>
      </c>
      <c r="KV35" s="84" t="s">
        <v>1089</v>
      </c>
      <c r="KW35" s="84" t="s">
        <v>1089</v>
      </c>
      <c r="KX35" s="84" t="s">
        <v>1089</v>
      </c>
      <c r="KY35" s="84" t="s">
        <v>1089</v>
      </c>
      <c r="KZ35" s="84" t="s">
        <v>1089</v>
      </c>
      <c r="LA35" s="84" t="s">
        <v>1089</v>
      </c>
      <c r="LB35" s="84" t="s">
        <v>1089</v>
      </c>
      <c r="LC35" s="84" t="s">
        <v>1090</v>
      </c>
      <c r="LD35" s="84" t="s">
        <v>1090</v>
      </c>
      <c r="LE35" s="84" t="s">
        <v>1090</v>
      </c>
      <c r="LF35" s="84" t="s">
        <v>1090</v>
      </c>
      <c r="LG35" s="84" t="s">
        <v>1090</v>
      </c>
      <c r="LH35" s="84" t="s">
        <v>1090</v>
      </c>
      <c r="LI35" s="84" t="s">
        <v>1090</v>
      </c>
      <c r="LJ35" s="84" t="s">
        <v>1090</v>
      </c>
      <c r="LK35" s="84" t="s">
        <v>1090</v>
      </c>
      <c r="LL35" s="84" t="s">
        <v>1090</v>
      </c>
      <c r="LM35" s="84" t="s">
        <v>1090</v>
      </c>
      <c r="LN35" s="84" t="s">
        <v>1090</v>
      </c>
      <c r="LO35" s="84" t="s">
        <v>1090</v>
      </c>
      <c r="LP35" s="84" t="s">
        <v>1090</v>
      </c>
      <c r="LQ35" s="84" t="s">
        <v>1090</v>
      </c>
      <c r="LR35" s="84" t="s">
        <v>1090</v>
      </c>
      <c r="LS35" s="84" t="s">
        <v>1091</v>
      </c>
      <c r="LT35" s="84" t="s">
        <v>1091</v>
      </c>
      <c r="LU35" s="84" t="s">
        <v>1091</v>
      </c>
      <c r="LV35" s="84" t="s">
        <v>1091</v>
      </c>
      <c r="LW35" s="84" t="s">
        <v>1091</v>
      </c>
      <c r="LX35" s="84" t="s">
        <v>1091</v>
      </c>
      <c r="LY35" s="84" t="s">
        <v>1091</v>
      </c>
      <c r="LZ35" s="84" t="s">
        <v>1091</v>
      </c>
      <c r="MA35" s="84" t="s">
        <v>1091</v>
      </c>
      <c r="MB35" s="84" t="s">
        <v>1091</v>
      </c>
      <c r="MC35" s="84" t="s">
        <v>1091</v>
      </c>
      <c r="MD35" s="84" t="s">
        <v>1091</v>
      </c>
      <c r="ME35" s="84" t="s">
        <v>1091</v>
      </c>
      <c r="MF35" s="84" t="s">
        <v>1091</v>
      </c>
      <c r="MG35" s="84" t="s">
        <v>1091</v>
      </c>
      <c r="MH35" s="84" t="s">
        <v>1091</v>
      </c>
      <c r="MI35" s="1251" t="s">
        <v>1089</v>
      </c>
      <c r="MJ35" s="84" t="s">
        <v>1089</v>
      </c>
      <c r="MK35" s="84" t="s">
        <v>1089</v>
      </c>
      <c r="ML35" s="84" t="s">
        <v>1089</v>
      </c>
      <c r="MM35" s="84" t="s">
        <v>1089</v>
      </c>
      <c r="MN35" s="84" t="s">
        <v>1089</v>
      </c>
      <c r="MO35" s="84" t="s">
        <v>1089</v>
      </c>
      <c r="MP35" s="84" t="s">
        <v>1089</v>
      </c>
      <c r="MQ35" s="84" t="s">
        <v>1089</v>
      </c>
      <c r="MR35" s="84" t="s">
        <v>1089</v>
      </c>
      <c r="MS35" s="84" t="s">
        <v>1089</v>
      </c>
      <c r="MT35" s="84" t="s">
        <v>1089</v>
      </c>
      <c r="MU35" s="84" t="s">
        <v>1089</v>
      </c>
      <c r="MV35" s="84" t="s">
        <v>1089</v>
      </c>
      <c r="MW35" s="84" t="s">
        <v>1089</v>
      </c>
      <c r="MX35" s="84" t="s">
        <v>1089</v>
      </c>
      <c r="MY35" s="84" t="s">
        <v>1090</v>
      </c>
      <c r="MZ35" s="84" t="s">
        <v>1090</v>
      </c>
      <c r="NA35" s="84" t="s">
        <v>1090</v>
      </c>
      <c r="NB35" s="84" t="s">
        <v>1090</v>
      </c>
      <c r="NC35" s="84" t="s">
        <v>1090</v>
      </c>
      <c r="ND35" s="84" t="s">
        <v>1090</v>
      </c>
      <c r="NE35" s="84" t="s">
        <v>1090</v>
      </c>
      <c r="NF35" s="84" t="s">
        <v>1090</v>
      </c>
      <c r="NG35" s="84" t="s">
        <v>1090</v>
      </c>
      <c r="NH35" s="84" t="s">
        <v>1090</v>
      </c>
      <c r="NI35" s="84" t="s">
        <v>1090</v>
      </c>
      <c r="NJ35" s="84" t="s">
        <v>1090</v>
      </c>
      <c r="NK35" s="84" t="s">
        <v>1090</v>
      </c>
      <c r="NL35" s="84" t="s">
        <v>1090</v>
      </c>
      <c r="NM35" s="84" t="s">
        <v>1090</v>
      </c>
      <c r="NN35" s="84" t="s">
        <v>1090</v>
      </c>
      <c r="NO35" s="84" t="s">
        <v>1091</v>
      </c>
      <c r="NP35" s="84" t="s">
        <v>1091</v>
      </c>
      <c r="NQ35" s="84" t="s">
        <v>1091</v>
      </c>
      <c r="NR35" s="84" t="s">
        <v>1091</v>
      </c>
      <c r="NS35" s="84" t="s">
        <v>1091</v>
      </c>
      <c r="NT35" s="84" t="s">
        <v>1091</v>
      </c>
      <c r="NU35" s="84" t="s">
        <v>1091</v>
      </c>
      <c r="NV35" s="84" t="s">
        <v>1091</v>
      </c>
      <c r="NW35" s="84" t="s">
        <v>1091</v>
      </c>
      <c r="NX35" s="84" t="s">
        <v>1091</v>
      </c>
      <c r="NY35" s="84" t="s">
        <v>1091</v>
      </c>
      <c r="NZ35" s="84" t="s">
        <v>1091</v>
      </c>
      <c r="OA35" s="84" t="s">
        <v>1091</v>
      </c>
      <c r="OB35" s="84" t="s">
        <v>1091</v>
      </c>
      <c r="OC35" s="84" t="s">
        <v>1091</v>
      </c>
      <c r="OD35" s="84" t="s">
        <v>1091</v>
      </c>
      <c r="OE35" s="1251" t="s">
        <v>1089</v>
      </c>
      <c r="OF35" s="84" t="s">
        <v>1089</v>
      </c>
      <c r="OG35" s="84" t="s">
        <v>1089</v>
      </c>
      <c r="OH35" s="84" t="s">
        <v>1089</v>
      </c>
      <c r="OI35" s="84" t="s">
        <v>1089</v>
      </c>
      <c r="OJ35" s="84" t="s">
        <v>1089</v>
      </c>
      <c r="OK35" s="84" t="s">
        <v>1089</v>
      </c>
      <c r="OL35" s="84" t="s">
        <v>1089</v>
      </c>
      <c r="OM35" s="84" t="s">
        <v>1089</v>
      </c>
      <c r="ON35" s="84" t="s">
        <v>1089</v>
      </c>
      <c r="OO35" s="84" t="s">
        <v>1089</v>
      </c>
      <c r="OP35" s="84" t="s">
        <v>1089</v>
      </c>
      <c r="OQ35" s="84" t="s">
        <v>1089</v>
      </c>
      <c r="OR35" s="84" t="s">
        <v>1089</v>
      </c>
      <c r="OS35" s="84" t="s">
        <v>1089</v>
      </c>
      <c r="OT35" s="84" t="s">
        <v>1089</v>
      </c>
      <c r="OU35" s="84" t="s">
        <v>1090</v>
      </c>
      <c r="OV35" s="84" t="s">
        <v>1090</v>
      </c>
      <c r="OW35" s="84" t="s">
        <v>1090</v>
      </c>
      <c r="OX35" s="84" t="s">
        <v>1090</v>
      </c>
      <c r="OY35" s="84" t="s">
        <v>1090</v>
      </c>
      <c r="OZ35" s="84" t="s">
        <v>1090</v>
      </c>
      <c r="PA35" s="84" t="s">
        <v>1090</v>
      </c>
      <c r="PB35" s="84" t="s">
        <v>1090</v>
      </c>
      <c r="PC35" s="84" t="s">
        <v>1090</v>
      </c>
      <c r="PD35" s="84" t="s">
        <v>1090</v>
      </c>
      <c r="PE35" s="84" t="s">
        <v>1090</v>
      </c>
      <c r="PF35" s="84" t="s">
        <v>1090</v>
      </c>
      <c r="PG35" s="84" t="s">
        <v>1090</v>
      </c>
      <c r="PH35" s="84" t="s">
        <v>1090</v>
      </c>
      <c r="PI35" s="84" t="s">
        <v>1090</v>
      </c>
      <c r="PJ35" s="84" t="s">
        <v>1090</v>
      </c>
      <c r="PK35" s="84" t="s">
        <v>1091</v>
      </c>
      <c r="PL35" s="84" t="s">
        <v>1091</v>
      </c>
      <c r="PM35" s="84" t="s">
        <v>1091</v>
      </c>
      <c r="PN35" s="84" t="s">
        <v>1091</v>
      </c>
      <c r="PO35" s="84" t="s">
        <v>1091</v>
      </c>
      <c r="PP35" s="84" t="s">
        <v>1091</v>
      </c>
      <c r="PQ35" s="84" t="s">
        <v>1091</v>
      </c>
      <c r="PR35" s="84" t="s">
        <v>1091</v>
      </c>
      <c r="PS35" s="84" t="s">
        <v>1091</v>
      </c>
      <c r="PT35" s="84" t="s">
        <v>1091</v>
      </c>
      <c r="PU35" s="84" t="s">
        <v>1091</v>
      </c>
      <c r="PV35" s="84" t="s">
        <v>1091</v>
      </c>
      <c r="PW35" s="84" t="s">
        <v>1091</v>
      </c>
      <c r="PX35" s="84" t="s">
        <v>1091</v>
      </c>
      <c r="PY35" s="84" t="s">
        <v>1091</v>
      </c>
      <c r="PZ35" s="84" t="s">
        <v>1091</v>
      </c>
      <c r="QB35" s="33" t="s">
        <v>1072</v>
      </c>
    </row>
    <row r="36" spans="1:542" s="33" customFormat="1" x14ac:dyDescent="0.25">
      <c r="A36"/>
      <c r="B36" s="1382"/>
      <c r="C36" s="647"/>
      <c r="D36" s="647"/>
      <c r="E36" s="647"/>
      <c r="F36" s="647"/>
      <c r="G36" s="647"/>
      <c r="H36" s="647"/>
      <c r="I36" s="647"/>
      <c r="J36" s="17"/>
      <c r="K36" s="239"/>
      <c r="L36" s="140"/>
      <c r="M36" s="140"/>
      <c r="N36" s="1458"/>
      <c r="O36" s="1467" t="s">
        <v>173</v>
      </c>
      <c r="P36" s="1469">
        <f>P35*P33</f>
        <v>289.03717578961647</v>
      </c>
      <c r="Q36" s="1470">
        <f>Q35*Q33</f>
        <v>496.98132995760005</v>
      </c>
      <c r="R36" s="1460"/>
      <c r="S36" s="1460"/>
      <c r="T36" s="1460"/>
      <c r="U36" s="1460"/>
      <c r="V36" s="1460"/>
      <c r="W36" s="1461"/>
      <c r="X36"/>
      <c r="Y36"/>
      <c r="Z36"/>
      <c r="AA36"/>
      <c r="AB36"/>
      <c r="AC36"/>
      <c r="AD36" s="7"/>
      <c r="AE36" s="194"/>
      <c r="AF36" s="378"/>
      <c r="AG36" s="378"/>
      <c r="AH36" s="378"/>
      <c r="AI36" s="378"/>
      <c r="AJ36" s="799"/>
      <c r="AK36" s="799"/>
      <c r="AL36" s="799"/>
      <c r="AM36" s="799"/>
      <c r="AN36" s="799"/>
      <c r="AO36" s="799"/>
      <c r="AP36" s="799"/>
      <c r="AQ36" s="799"/>
      <c r="AR36" s="140"/>
      <c r="AS36" s="194"/>
      <c r="AT36" s="8"/>
      <c r="AU36" s="8"/>
      <c r="AV36" s="8"/>
      <c r="AW36" s="8"/>
      <c r="AX36" s="8"/>
      <c r="AZ36" s="7" t="s">
        <v>1072</v>
      </c>
      <c r="ER36" s="7" t="s">
        <v>1072</v>
      </c>
      <c r="ES36" s="1375"/>
      <c r="ET36" s="7" t="s">
        <v>1072</v>
      </c>
      <c r="EU36" s="1375"/>
      <c r="EV36" s="1375"/>
      <c r="EW36" s="1375"/>
      <c r="EX36" s="1375"/>
      <c r="EY36" s="1375"/>
      <c r="EZ36" s="1375"/>
      <c r="FA36" s="1375"/>
      <c r="FB36" s="1375"/>
      <c r="FC36" s="1375"/>
      <c r="FD36" s="1375"/>
      <c r="FE36" s="1375"/>
      <c r="FF36" s="1375"/>
      <c r="FG36" s="1375"/>
      <c r="FH36" s="1375"/>
      <c r="FI36" s="1375"/>
      <c r="FJ36" s="1375"/>
      <c r="FK36" s="1375"/>
      <c r="FL36" s="1375"/>
      <c r="FM36" s="1375"/>
      <c r="FN36" s="1375"/>
      <c r="FO36" s="1375"/>
      <c r="FP36" s="1375"/>
      <c r="FQ36" s="1375"/>
      <c r="FR36" s="1375"/>
      <c r="FS36" s="1375"/>
      <c r="FT36" s="1375"/>
      <c r="FU36" s="1375"/>
      <c r="FV36" s="1375"/>
      <c r="FW36" s="1375"/>
      <c r="FX36" s="1375"/>
      <c r="FY36" s="1375"/>
      <c r="FZ36" s="1375"/>
      <c r="GA36" s="1375"/>
      <c r="GB36" s="1375"/>
      <c r="GC36" s="1375"/>
      <c r="GD36" s="1375"/>
      <c r="GE36" s="1375"/>
      <c r="GF36" s="1375"/>
      <c r="GG36" s="1375"/>
      <c r="GH36" s="1375"/>
      <c r="GI36" s="1375"/>
      <c r="GJ36" s="1375"/>
      <c r="GK36" s="1375"/>
      <c r="GL36" s="1375"/>
      <c r="GM36" s="1375"/>
      <c r="GN36" s="1375"/>
      <c r="GO36" s="1375"/>
      <c r="GP36" s="1375"/>
      <c r="GQ36" s="1375"/>
      <c r="GR36" s="1375"/>
      <c r="GS36" s="1375"/>
      <c r="GT36" s="1375"/>
      <c r="GU36" s="1375"/>
      <c r="GV36" s="1375"/>
      <c r="GW36" s="1375"/>
      <c r="GX36" s="1375"/>
      <c r="GY36" s="1375"/>
      <c r="GZ36" s="1375"/>
      <c r="HA36" s="1375"/>
      <c r="HB36" s="1375"/>
      <c r="HC36" s="1375"/>
      <c r="HD36" s="7"/>
      <c r="JN36" s="140"/>
      <c r="JO36" s="140"/>
      <c r="JP36" s="140"/>
      <c r="JQ36" s="194"/>
      <c r="JR36" s="140"/>
      <c r="JS36" s="140"/>
      <c r="JT36" s="140"/>
      <c r="JU36" s="140"/>
      <c r="JV36" s="140"/>
      <c r="KG36" s="7" t="s">
        <v>1072</v>
      </c>
      <c r="KH36" s="7"/>
      <c r="KI36" s="7"/>
      <c r="KJ36" s="7"/>
      <c r="KK36" s="7"/>
      <c r="KL36" s="140"/>
      <c r="KM36" s="1251" t="s">
        <v>1100</v>
      </c>
      <c r="KN36" s="1251" t="s">
        <v>1100</v>
      </c>
      <c r="KO36" s="1251" t="s">
        <v>1100</v>
      </c>
      <c r="KP36" s="1251" t="s">
        <v>1100</v>
      </c>
      <c r="KQ36" s="1251" t="s">
        <v>1100</v>
      </c>
      <c r="KR36" s="1251" t="s">
        <v>1100</v>
      </c>
      <c r="KS36" s="1251" t="s">
        <v>1100</v>
      </c>
      <c r="KT36" s="1251" t="s">
        <v>1100</v>
      </c>
      <c r="KU36" s="1251" t="s">
        <v>1100</v>
      </c>
      <c r="KV36" s="1251" t="s">
        <v>1100</v>
      </c>
      <c r="KW36" s="1251" t="s">
        <v>1100</v>
      </c>
      <c r="KX36" s="1251" t="s">
        <v>1100</v>
      </c>
      <c r="KY36" s="1251" t="s">
        <v>1100</v>
      </c>
      <c r="KZ36" s="1251" t="s">
        <v>1100</v>
      </c>
      <c r="LA36" s="1251" t="s">
        <v>1100</v>
      </c>
      <c r="LB36" s="1251" t="s">
        <v>1100</v>
      </c>
      <c r="LC36" s="1251" t="s">
        <v>1100</v>
      </c>
      <c r="LD36" s="1251" t="s">
        <v>1100</v>
      </c>
      <c r="LE36" s="1251" t="s">
        <v>1100</v>
      </c>
      <c r="LF36" s="1251" t="s">
        <v>1100</v>
      </c>
      <c r="LG36" s="1251" t="s">
        <v>1100</v>
      </c>
      <c r="LH36" s="1251" t="s">
        <v>1100</v>
      </c>
      <c r="LI36" s="1251" t="s">
        <v>1100</v>
      </c>
      <c r="LJ36" s="1251" t="s">
        <v>1100</v>
      </c>
      <c r="LK36" s="1251" t="s">
        <v>1100</v>
      </c>
      <c r="LL36" s="1251" t="s">
        <v>1100</v>
      </c>
      <c r="LM36" s="1251" t="s">
        <v>1100</v>
      </c>
      <c r="LN36" s="1251" t="s">
        <v>1100</v>
      </c>
      <c r="LO36" s="1251" t="s">
        <v>1100</v>
      </c>
      <c r="LP36" s="1251" t="s">
        <v>1100</v>
      </c>
      <c r="LQ36" s="1251" t="s">
        <v>1100</v>
      </c>
      <c r="LR36" s="1251" t="s">
        <v>1100</v>
      </c>
      <c r="LS36" s="1251" t="s">
        <v>1100</v>
      </c>
      <c r="LT36" s="1251" t="s">
        <v>1100</v>
      </c>
      <c r="LU36" s="1251" t="s">
        <v>1100</v>
      </c>
      <c r="LV36" s="1251" t="s">
        <v>1100</v>
      </c>
      <c r="LW36" s="1251" t="s">
        <v>1100</v>
      </c>
      <c r="LX36" s="1251" t="s">
        <v>1100</v>
      </c>
      <c r="LY36" s="1251" t="s">
        <v>1100</v>
      </c>
      <c r="LZ36" s="1251" t="s">
        <v>1100</v>
      </c>
      <c r="MA36" s="1251" t="s">
        <v>1100</v>
      </c>
      <c r="MB36" s="1251" t="s">
        <v>1100</v>
      </c>
      <c r="MC36" s="1251" t="s">
        <v>1100</v>
      </c>
      <c r="MD36" s="1251" t="s">
        <v>1100</v>
      </c>
      <c r="ME36" s="1251" t="s">
        <v>1100</v>
      </c>
      <c r="MF36" s="1251" t="s">
        <v>1100</v>
      </c>
      <c r="MG36" s="1251" t="s">
        <v>1100</v>
      </c>
      <c r="MH36" s="1251" t="s">
        <v>1100</v>
      </c>
      <c r="MI36" s="84" t="s">
        <v>1101</v>
      </c>
      <c r="MJ36" s="84" t="s">
        <v>1101</v>
      </c>
      <c r="MK36" s="84" t="s">
        <v>1101</v>
      </c>
      <c r="ML36" s="84" t="s">
        <v>1101</v>
      </c>
      <c r="MM36" s="84" t="s">
        <v>1101</v>
      </c>
      <c r="MN36" s="84" t="s">
        <v>1101</v>
      </c>
      <c r="MO36" s="84" t="s">
        <v>1101</v>
      </c>
      <c r="MP36" s="84" t="s">
        <v>1101</v>
      </c>
      <c r="MQ36" s="84" t="s">
        <v>1101</v>
      </c>
      <c r="MR36" s="84" t="s">
        <v>1101</v>
      </c>
      <c r="MS36" s="84" t="s">
        <v>1101</v>
      </c>
      <c r="MT36" s="84" t="s">
        <v>1101</v>
      </c>
      <c r="MU36" s="84" t="s">
        <v>1101</v>
      </c>
      <c r="MV36" s="84" t="s">
        <v>1101</v>
      </c>
      <c r="MW36" s="84" t="s">
        <v>1101</v>
      </c>
      <c r="MX36" s="84" t="s">
        <v>1101</v>
      </c>
      <c r="MY36" s="84" t="s">
        <v>1101</v>
      </c>
      <c r="MZ36" s="84" t="s">
        <v>1101</v>
      </c>
      <c r="NA36" s="84" t="s">
        <v>1101</v>
      </c>
      <c r="NB36" s="84" t="s">
        <v>1101</v>
      </c>
      <c r="NC36" s="84" t="s">
        <v>1101</v>
      </c>
      <c r="ND36" s="84" t="s">
        <v>1101</v>
      </c>
      <c r="NE36" s="84" t="s">
        <v>1101</v>
      </c>
      <c r="NF36" s="84" t="s">
        <v>1101</v>
      </c>
      <c r="NG36" s="84" t="s">
        <v>1101</v>
      </c>
      <c r="NH36" s="84" t="s">
        <v>1101</v>
      </c>
      <c r="NI36" s="84" t="s">
        <v>1101</v>
      </c>
      <c r="NJ36" s="84" t="s">
        <v>1101</v>
      </c>
      <c r="NK36" s="84" t="s">
        <v>1101</v>
      </c>
      <c r="NL36" s="84" t="s">
        <v>1101</v>
      </c>
      <c r="NM36" s="84" t="s">
        <v>1101</v>
      </c>
      <c r="NN36" s="84" t="s">
        <v>1101</v>
      </c>
      <c r="NO36" s="84" t="s">
        <v>1101</v>
      </c>
      <c r="NP36" s="84" t="s">
        <v>1101</v>
      </c>
      <c r="NQ36" s="84" t="s">
        <v>1101</v>
      </c>
      <c r="NR36" s="84" t="s">
        <v>1101</v>
      </c>
      <c r="NS36" s="84" t="s">
        <v>1101</v>
      </c>
      <c r="NT36" s="84" t="s">
        <v>1101</v>
      </c>
      <c r="NU36" s="84" t="s">
        <v>1101</v>
      </c>
      <c r="NV36" s="84" t="s">
        <v>1101</v>
      </c>
      <c r="NW36" s="84" t="s">
        <v>1101</v>
      </c>
      <c r="NX36" s="84" t="s">
        <v>1101</v>
      </c>
      <c r="NY36" s="84" t="s">
        <v>1101</v>
      </c>
      <c r="NZ36" s="84" t="s">
        <v>1101</v>
      </c>
      <c r="OA36" s="84" t="s">
        <v>1101</v>
      </c>
      <c r="OB36" s="84" t="s">
        <v>1101</v>
      </c>
      <c r="OC36" s="84" t="s">
        <v>1101</v>
      </c>
      <c r="OD36" s="84" t="s">
        <v>1101</v>
      </c>
      <c r="OE36" s="84" t="s">
        <v>1102</v>
      </c>
      <c r="OF36" s="84" t="s">
        <v>1102</v>
      </c>
      <c r="OG36" s="84" t="s">
        <v>1102</v>
      </c>
      <c r="OH36" s="84" t="s">
        <v>1102</v>
      </c>
      <c r="OI36" s="84" t="s">
        <v>1102</v>
      </c>
      <c r="OJ36" s="84" t="s">
        <v>1102</v>
      </c>
      <c r="OK36" s="84" t="s">
        <v>1102</v>
      </c>
      <c r="OL36" s="84" t="s">
        <v>1102</v>
      </c>
      <c r="OM36" s="84" t="s">
        <v>1102</v>
      </c>
      <c r="ON36" s="84" t="s">
        <v>1102</v>
      </c>
      <c r="OO36" s="84" t="s">
        <v>1102</v>
      </c>
      <c r="OP36" s="84" t="s">
        <v>1102</v>
      </c>
      <c r="OQ36" s="84" t="s">
        <v>1102</v>
      </c>
      <c r="OR36" s="84" t="s">
        <v>1102</v>
      </c>
      <c r="OS36" s="84" t="s">
        <v>1102</v>
      </c>
      <c r="OT36" s="84" t="s">
        <v>1102</v>
      </c>
      <c r="OU36" s="84" t="s">
        <v>1102</v>
      </c>
      <c r="OV36" s="84" t="s">
        <v>1102</v>
      </c>
      <c r="OW36" s="84" t="s">
        <v>1102</v>
      </c>
      <c r="OX36" s="84" t="s">
        <v>1102</v>
      </c>
      <c r="OY36" s="84" t="s">
        <v>1102</v>
      </c>
      <c r="OZ36" s="84" t="s">
        <v>1102</v>
      </c>
      <c r="PA36" s="84" t="s">
        <v>1102</v>
      </c>
      <c r="PB36" s="84" t="s">
        <v>1102</v>
      </c>
      <c r="PC36" s="84" t="s">
        <v>1102</v>
      </c>
      <c r="PD36" s="84" t="s">
        <v>1102</v>
      </c>
      <c r="PE36" s="84" t="s">
        <v>1102</v>
      </c>
      <c r="PF36" s="84" t="s">
        <v>1102</v>
      </c>
      <c r="PG36" s="84" t="s">
        <v>1102</v>
      </c>
      <c r="PH36" s="84" t="s">
        <v>1102</v>
      </c>
      <c r="PI36" s="84" t="s">
        <v>1102</v>
      </c>
      <c r="PJ36" s="84" t="s">
        <v>1102</v>
      </c>
      <c r="PK36" s="84" t="s">
        <v>1102</v>
      </c>
      <c r="PL36" s="84" t="s">
        <v>1102</v>
      </c>
      <c r="PM36" s="84" t="s">
        <v>1102</v>
      </c>
      <c r="PN36" s="84" t="s">
        <v>1102</v>
      </c>
      <c r="PO36" s="84" t="s">
        <v>1102</v>
      </c>
      <c r="PP36" s="84" t="s">
        <v>1102</v>
      </c>
      <c r="PQ36" s="84" t="s">
        <v>1102</v>
      </c>
      <c r="PR36" s="84" t="s">
        <v>1102</v>
      </c>
      <c r="PS36" s="84" t="s">
        <v>1102</v>
      </c>
      <c r="PT36" s="84" t="s">
        <v>1102</v>
      </c>
      <c r="PU36" s="84" t="s">
        <v>1102</v>
      </c>
      <c r="PV36" s="84" t="s">
        <v>1102</v>
      </c>
      <c r="PW36" s="84" t="s">
        <v>1102</v>
      </c>
      <c r="PX36" s="84" t="s">
        <v>1102</v>
      </c>
      <c r="PY36" s="84" t="s">
        <v>1102</v>
      </c>
      <c r="PZ36" s="84" t="s">
        <v>1102</v>
      </c>
      <c r="QB36" s="33" t="s">
        <v>1072</v>
      </c>
      <c r="RJ36" s="84"/>
    </row>
    <row r="37" spans="1:542" s="33" customFormat="1" x14ac:dyDescent="0.25">
      <c r="A37"/>
      <c r="B37" s="1382"/>
      <c r="C37" s="647"/>
      <c r="D37" s="1075" t="s">
        <v>904</v>
      </c>
      <c r="E37" s="647"/>
      <c r="F37" s="647" t="s">
        <v>1132</v>
      </c>
      <c r="G37" s="647"/>
      <c r="I37" s="647"/>
      <c r="J37" s="647"/>
      <c r="K37" s="1383"/>
      <c r="L37" s="140"/>
      <c r="M37" s="140"/>
      <c r="N37" s="1458"/>
      <c r="O37" s="1467"/>
      <c r="P37" s="1468"/>
      <c r="Q37" s="1467"/>
      <c r="R37" s="1460"/>
      <c r="S37" s="1460"/>
      <c r="T37" s="1460"/>
      <c r="U37" s="1460"/>
      <c r="V37" s="1460"/>
      <c r="W37" s="1461"/>
      <c r="X37"/>
      <c r="Y37"/>
      <c r="Z37"/>
      <c r="AA37"/>
      <c r="AB37"/>
      <c r="AC37"/>
      <c r="AD37" s="7"/>
      <c r="AE37" s="7"/>
      <c r="AF37" s="378"/>
      <c r="AG37" s="378"/>
      <c r="AH37" s="378"/>
      <c r="AI37" s="378"/>
      <c r="AJ37" s="799"/>
      <c r="AK37" s="799"/>
      <c r="AL37" s="799"/>
      <c r="AM37" s="799"/>
      <c r="AN37" s="799"/>
      <c r="AO37" s="799"/>
      <c r="AP37" s="799"/>
      <c r="AQ37" s="799"/>
      <c r="AR37" s="140"/>
      <c r="AS37" s="8"/>
      <c r="AT37" s="8"/>
      <c r="AU37" s="8"/>
      <c r="AV37" s="8"/>
      <c r="AW37" s="8"/>
      <c r="AX37" s="8"/>
      <c r="AZ37" s="7" t="s">
        <v>1072</v>
      </c>
      <c r="ER37" s="7" t="s">
        <v>1072</v>
      </c>
      <c r="ES37" s="1375"/>
      <c r="ET37" s="7" t="s">
        <v>1072</v>
      </c>
      <c r="EU37" s="1375"/>
      <c r="EV37" s="1375"/>
      <c r="EW37" s="1375"/>
      <c r="EX37" s="1375"/>
      <c r="EY37" s="1375"/>
      <c r="EZ37" s="1375"/>
      <c r="FA37" s="1375"/>
      <c r="FB37" s="1375"/>
      <c r="FC37" s="1375"/>
      <c r="FD37" s="1375"/>
      <c r="FE37" s="1375"/>
      <c r="FF37" s="1375"/>
      <c r="FG37" s="1375"/>
      <c r="FH37" s="1375"/>
      <c r="FI37" s="1375"/>
      <c r="FJ37" s="1375"/>
      <c r="FK37" s="1375"/>
      <c r="FL37" s="1375"/>
      <c r="FM37" s="1375"/>
      <c r="FN37" s="1375"/>
      <c r="FO37" s="1375"/>
      <c r="FP37" s="1375"/>
      <c r="FQ37" s="1375"/>
      <c r="FR37" s="1375"/>
      <c r="FS37" s="1375"/>
      <c r="FT37" s="1375"/>
      <c r="FU37" s="1375"/>
      <c r="FV37" s="1375"/>
      <c r="FW37" s="1375"/>
      <c r="FX37" s="1375"/>
      <c r="FY37" s="1375"/>
      <c r="FZ37" s="1375"/>
      <c r="GA37" s="1375"/>
      <c r="GB37" s="1375"/>
      <c r="GC37" s="1375"/>
      <c r="GD37" s="1375"/>
      <c r="GE37" s="1375"/>
      <c r="GF37" s="1375"/>
      <c r="GG37" s="1375"/>
      <c r="GH37" s="1375"/>
      <c r="GI37" s="1375"/>
      <c r="GJ37" s="1375"/>
      <c r="GK37" s="1375"/>
      <c r="GL37" s="1375"/>
      <c r="GM37" s="1375"/>
      <c r="GN37" s="1375"/>
      <c r="GO37" s="1375"/>
      <c r="GP37" s="1375"/>
      <c r="GQ37" s="1375"/>
      <c r="GR37" s="1375"/>
      <c r="GS37" s="1375"/>
      <c r="GT37" s="1375"/>
      <c r="GU37" s="1375"/>
      <c r="GV37" s="1375"/>
      <c r="GW37" s="1375"/>
      <c r="GX37" s="1375"/>
      <c r="GY37" s="1375"/>
      <c r="GZ37" s="1375"/>
      <c r="HA37" s="1375"/>
      <c r="HB37" s="1375"/>
      <c r="HC37" s="1375"/>
      <c r="HD37" s="7"/>
      <c r="JN37" s="140"/>
      <c r="JO37" s="140"/>
      <c r="JP37" s="140"/>
      <c r="JQ37" s="194"/>
      <c r="JR37" s="140"/>
      <c r="JS37" s="140"/>
      <c r="JT37" s="140"/>
      <c r="JU37" s="140"/>
      <c r="JV37" s="140"/>
      <c r="KG37" s="7" t="s">
        <v>1072</v>
      </c>
      <c r="KH37" s="7"/>
      <c r="KI37" s="7"/>
      <c r="KJ37" s="7"/>
      <c r="KK37" s="7"/>
      <c r="KL37" s="140"/>
      <c r="KM37" s="7" t="s">
        <v>1072</v>
      </c>
      <c r="QB37" s="33" t="s">
        <v>1072</v>
      </c>
      <c r="RJ37" s="84"/>
    </row>
    <row r="38" spans="1:542" s="33" customFormat="1" x14ac:dyDescent="0.25">
      <c r="A38"/>
      <c r="B38" s="1479" t="s">
        <v>1146</v>
      </c>
      <c r="C38" s="1389" t="s">
        <v>367</v>
      </c>
      <c r="D38" s="1389" t="s">
        <v>368</v>
      </c>
      <c r="E38" s="17"/>
      <c r="F38" s="1250"/>
      <c r="G38" s="647"/>
      <c r="H38" s="647" t="s">
        <v>898</v>
      </c>
      <c r="I38" s="647"/>
      <c r="J38" s="647"/>
      <c r="K38" s="1383"/>
      <c r="L38" s="140"/>
      <c r="M38" s="140"/>
      <c r="N38" s="1458"/>
      <c r="O38" s="1467" t="s">
        <v>909</v>
      </c>
      <c r="P38" s="1468">
        <f>P36*P32</f>
        <v>1156.1487031584659</v>
      </c>
      <c r="Q38" s="1476">
        <f>Q36*Q32</f>
        <v>496.98132995760005</v>
      </c>
      <c r="R38" s="1460"/>
      <c r="S38" s="1460"/>
      <c r="T38" s="1460"/>
      <c r="U38" s="1460"/>
      <c r="V38" s="1460"/>
      <c r="W38" s="1461"/>
      <c r="X38"/>
      <c r="Y38"/>
      <c r="Z38"/>
      <c r="AA38"/>
      <c r="AB38"/>
      <c r="AC38"/>
      <c r="AD38" s="7"/>
      <c r="AE38" s="7"/>
      <c r="AF38" s="140"/>
      <c r="AG38" s="140"/>
      <c r="AH38" s="140"/>
      <c r="AI38" s="140"/>
      <c r="AJ38" s="140"/>
      <c r="AK38" s="140"/>
      <c r="AL38" s="140"/>
      <c r="AM38" s="140"/>
      <c r="AN38" s="140"/>
      <c r="AO38" s="140"/>
      <c r="AP38" s="140"/>
      <c r="AQ38" s="140"/>
      <c r="AR38" s="140"/>
      <c r="AS38" s="8"/>
      <c r="AT38" s="8"/>
      <c r="AU38" s="8"/>
      <c r="AV38" s="8"/>
      <c r="AW38" s="8"/>
      <c r="AX38" s="8"/>
      <c r="AZ38" s="7" t="s">
        <v>1072</v>
      </c>
      <c r="ER38" s="7" t="s">
        <v>1072</v>
      </c>
      <c r="ES38" s="1375"/>
      <c r="ET38" s="7" t="s">
        <v>1072</v>
      </c>
      <c r="EU38" s="1375"/>
      <c r="EV38" s="1375"/>
      <c r="EW38" s="1375"/>
      <c r="EX38" s="1375"/>
      <c r="EY38" s="1375"/>
      <c r="EZ38" s="1375"/>
      <c r="FA38" s="1375"/>
      <c r="FB38" s="1375"/>
      <c r="FC38" s="1375"/>
      <c r="FD38" s="1375"/>
      <c r="FE38" s="1375"/>
      <c r="FF38" s="1375"/>
      <c r="FG38" s="1375"/>
      <c r="FH38" s="1375"/>
      <c r="FI38" s="1375"/>
      <c r="FJ38" s="1375"/>
      <c r="FK38" s="1375"/>
      <c r="FL38" s="1375"/>
      <c r="FM38" s="1375"/>
      <c r="FN38" s="1375"/>
      <c r="FO38" s="1375"/>
      <c r="FP38" s="1375"/>
      <c r="FQ38" s="1375"/>
      <c r="FR38" s="1375"/>
      <c r="FS38" s="1375"/>
      <c r="FT38" s="1375"/>
      <c r="FU38" s="1375"/>
      <c r="FV38" s="1375"/>
      <c r="FW38" s="1375"/>
      <c r="FX38" s="1375"/>
      <c r="FY38" s="1375"/>
      <c r="FZ38" s="1375"/>
      <c r="GA38" s="1375"/>
      <c r="GB38" s="1375"/>
      <c r="GC38" s="1375"/>
      <c r="GD38" s="1375"/>
      <c r="GE38" s="1375"/>
      <c r="GF38" s="1375"/>
      <c r="GG38" s="1375"/>
      <c r="GH38" s="1375"/>
      <c r="GI38" s="1375"/>
      <c r="GJ38" s="1375"/>
      <c r="GK38" s="1375"/>
      <c r="GL38" s="1375"/>
      <c r="GM38" s="1375"/>
      <c r="GN38" s="1375"/>
      <c r="GO38" s="1375"/>
      <c r="GP38" s="1375"/>
      <c r="GQ38" s="1375"/>
      <c r="GR38" s="1375"/>
      <c r="GS38" s="1375"/>
      <c r="GT38" s="1375"/>
      <c r="GU38" s="1375"/>
      <c r="GV38" s="1375"/>
      <c r="GW38" s="1375"/>
      <c r="GX38" s="1375"/>
      <c r="GY38" s="1375"/>
      <c r="GZ38" s="1375"/>
      <c r="HA38" s="1375"/>
      <c r="HB38" s="1375"/>
      <c r="HC38" s="1375"/>
      <c r="HD38" s="7"/>
      <c r="JN38" s="140"/>
      <c r="JO38" s="140"/>
      <c r="JP38" s="140"/>
      <c r="JQ38" s="194"/>
      <c r="JR38" s="140"/>
      <c r="JS38" s="140"/>
      <c r="JT38" s="140"/>
      <c r="JU38" s="140"/>
      <c r="JV38" s="140"/>
      <c r="KG38" s="7" t="s">
        <v>1072</v>
      </c>
      <c r="KH38" s="7"/>
      <c r="KI38" s="7"/>
      <c r="KJ38" s="7"/>
      <c r="KK38" s="7"/>
      <c r="KL38" s="140"/>
      <c r="KM38" s="7" t="s">
        <v>1072</v>
      </c>
      <c r="QB38" s="33" t="s">
        <v>1072</v>
      </c>
      <c r="RJ38" s="1075"/>
    </row>
    <row r="39" spans="1:542" s="33" customFormat="1" x14ac:dyDescent="0.25">
      <c r="A39"/>
      <c r="B39" s="1480">
        <f>D39-C39</f>
        <v>25000</v>
      </c>
      <c r="C39" s="981">
        <v>55000</v>
      </c>
      <c r="D39" s="981">
        <v>80000</v>
      </c>
      <c r="E39" s="257"/>
      <c r="F39" s="1385" t="s">
        <v>1133</v>
      </c>
      <c r="G39" s="257" t="s">
        <v>1143</v>
      </c>
      <c r="H39" s="1385"/>
      <c r="I39" s="1385"/>
      <c r="J39" s="1385"/>
      <c r="K39" s="1386"/>
      <c r="L39" s="140"/>
      <c r="M39" s="140"/>
      <c r="N39" s="1458"/>
      <c r="O39" s="1477"/>
      <c r="P39" s="1459"/>
      <c r="Q39" s="1459"/>
      <c r="R39" s="1460"/>
      <c r="S39" s="1460"/>
      <c r="T39" s="1460"/>
      <c r="U39" s="1460"/>
      <c r="V39" s="1460"/>
      <c r="W39" s="1461"/>
      <c r="X39"/>
      <c r="Y39"/>
      <c r="Z39"/>
      <c r="AA39"/>
      <c r="AB39"/>
      <c r="AC39"/>
      <c r="AD39" s="7"/>
      <c r="AE39" s="7"/>
      <c r="AF39" s="378"/>
      <c r="AG39" s="378"/>
      <c r="AH39" s="378"/>
      <c r="AI39" s="378"/>
      <c r="AJ39" s="140"/>
      <c r="AK39" s="140"/>
      <c r="AL39" s="140"/>
      <c r="AM39" s="479"/>
      <c r="AN39" s="479"/>
      <c r="AO39" s="479"/>
      <c r="AP39" s="140"/>
      <c r="AQ39" s="140"/>
      <c r="AR39" s="140"/>
      <c r="AS39" s="8"/>
      <c r="AT39" s="8"/>
      <c r="AU39" s="8"/>
      <c r="AV39" s="8"/>
      <c r="AW39" s="8"/>
      <c r="AX39" s="8"/>
      <c r="AZ39" s="7" t="s">
        <v>1072</v>
      </c>
      <c r="ER39" s="7" t="s">
        <v>1072</v>
      </c>
      <c r="ES39" s="1375"/>
      <c r="ET39" s="7" t="s">
        <v>1072</v>
      </c>
      <c r="EU39" s="1375"/>
      <c r="EV39" s="1375"/>
      <c r="EW39" s="1375"/>
      <c r="EX39" s="1375"/>
      <c r="EY39" s="1375"/>
      <c r="EZ39" s="1375"/>
      <c r="FA39" s="1375"/>
      <c r="FB39" s="1375"/>
      <c r="FC39" s="1375"/>
      <c r="FD39" s="1375"/>
      <c r="FE39" s="1375"/>
      <c r="FF39" s="1375"/>
      <c r="FG39" s="1375"/>
      <c r="FH39" s="1375"/>
      <c r="FI39" s="1375"/>
      <c r="FJ39" s="1375"/>
      <c r="FK39" s="1375"/>
      <c r="FL39" s="1375"/>
      <c r="FM39" s="1375"/>
      <c r="FN39" s="1375"/>
      <c r="FO39" s="1375"/>
      <c r="FP39" s="1375"/>
      <c r="FQ39" s="1375"/>
      <c r="FR39" s="1375"/>
      <c r="FS39" s="1375"/>
      <c r="FT39" s="1375"/>
      <c r="FU39" s="1375"/>
      <c r="FV39" s="1375"/>
      <c r="FW39" s="1375"/>
      <c r="FX39" s="1375"/>
      <c r="FY39" s="1375"/>
      <c r="FZ39" s="1375"/>
      <c r="GA39" s="1375"/>
      <c r="GB39" s="1375"/>
      <c r="GC39" s="1375"/>
      <c r="GD39" s="1375"/>
      <c r="GE39" s="1375"/>
      <c r="GF39" s="1375"/>
      <c r="GG39" s="1375"/>
      <c r="GH39" s="1375"/>
      <c r="GI39" s="1375"/>
      <c r="GJ39" s="1375"/>
      <c r="GK39" s="1375"/>
      <c r="GL39" s="1375"/>
      <c r="GM39" s="1375"/>
      <c r="GN39" s="1375"/>
      <c r="GO39" s="1375"/>
      <c r="GP39" s="1375"/>
      <c r="GQ39" s="1375"/>
      <c r="GR39" s="1375"/>
      <c r="GS39" s="1375"/>
      <c r="GT39" s="1375"/>
      <c r="GU39" s="1375"/>
      <c r="GV39" s="1375"/>
      <c r="GW39" s="1375"/>
      <c r="GX39" s="1375"/>
      <c r="GY39" s="1375"/>
      <c r="GZ39" s="1375"/>
      <c r="HA39" s="1375"/>
      <c r="HB39" s="1375"/>
      <c r="HC39" s="1375"/>
      <c r="HD39" s="7"/>
      <c r="JN39" s="140"/>
      <c r="JO39" s="140"/>
      <c r="JP39" s="140"/>
      <c r="JQ39" s="194"/>
      <c r="JR39" s="140"/>
      <c r="JS39" s="140"/>
      <c r="JT39" s="140"/>
      <c r="JU39" s="140"/>
      <c r="JV39" s="140"/>
      <c r="KG39" s="7" t="s">
        <v>1072</v>
      </c>
      <c r="KH39" s="7"/>
      <c r="KI39" s="7"/>
      <c r="KJ39" s="7"/>
      <c r="KK39" s="7"/>
      <c r="KL39" s="140"/>
      <c r="KM39" s="7" t="s">
        <v>1072</v>
      </c>
      <c r="QB39" s="33" t="s">
        <v>1072</v>
      </c>
      <c r="RJ39" s="1075"/>
    </row>
    <row r="40" spans="1:542" s="33" customFormat="1" x14ac:dyDescent="0.25">
      <c r="A40"/>
      <c r="B40"/>
      <c r="C40" s="1376"/>
      <c r="D40" s="140"/>
      <c r="E40" s="140"/>
      <c r="F40" s="8"/>
      <c r="G40" s="140"/>
      <c r="H40" s="647"/>
      <c r="I40" s="140"/>
      <c r="J40" s="140"/>
      <c r="K40" s="140"/>
      <c r="L40" s="140"/>
      <c r="M40" s="140"/>
      <c r="N40" s="1458"/>
      <c r="O40" s="1477" t="s">
        <v>1135</v>
      </c>
      <c r="P40" s="1459"/>
      <c r="Q40" s="1459"/>
      <c r="R40" s="1460"/>
      <c r="S40" s="1460"/>
      <c r="T40" s="1460"/>
      <c r="U40" s="1460"/>
      <c r="V40" s="1460"/>
      <c r="W40" s="1461"/>
      <c r="X40"/>
      <c r="Y40"/>
      <c r="Z40"/>
      <c r="AA40"/>
      <c r="AB40"/>
      <c r="AC40"/>
      <c r="AD40" s="7"/>
      <c r="AE40" s="7"/>
      <c r="AF40" s="8"/>
      <c r="AG40" s="140"/>
      <c r="AH40" s="140"/>
      <c r="AI40" s="140"/>
      <c r="AJ40" s="140"/>
      <c r="AK40" s="140"/>
      <c r="AL40" s="140"/>
      <c r="AM40" s="479"/>
      <c r="AN40" s="479"/>
      <c r="AO40" s="479"/>
      <c r="AP40" s="140"/>
      <c r="AQ40" s="140"/>
      <c r="AR40" s="194"/>
      <c r="AS40" s="1240"/>
      <c r="AT40" s="8"/>
      <c r="AU40" s="8"/>
      <c r="AV40" s="8"/>
      <c r="AW40" s="8"/>
      <c r="AX40" s="8"/>
      <c r="AZ40" s="7" t="s">
        <v>1072</v>
      </c>
      <c r="ER40" s="7" t="s">
        <v>1072</v>
      </c>
      <c r="ES40" s="1375"/>
      <c r="ET40" s="7" t="s">
        <v>1072</v>
      </c>
      <c r="EU40" s="1375"/>
      <c r="EV40" s="1375"/>
      <c r="EW40" s="1375"/>
      <c r="EX40" s="1375"/>
      <c r="EY40" s="1375"/>
      <c r="EZ40" s="1375"/>
      <c r="FA40" s="1375"/>
      <c r="FB40" s="1375"/>
      <c r="FC40" s="1375"/>
      <c r="FD40" s="1375"/>
      <c r="FE40" s="1375"/>
      <c r="FF40" s="1375"/>
      <c r="FG40" s="1375"/>
      <c r="FH40" s="1375"/>
      <c r="FI40" s="1375"/>
      <c r="FJ40" s="1375"/>
      <c r="FK40" s="1375"/>
      <c r="FL40" s="1375"/>
      <c r="FM40" s="1375"/>
      <c r="FN40" s="1375"/>
      <c r="FO40" s="1375"/>
      <c r="FP40" s="1375"/>
      <c r="FQ40" s="1375"/>
      <c r="FR40" s="1375"/>
      <c r="FS40" s="1375"/>
      <c r="FT40" s="1375"/>
      <c r="FU40" s="1375"/>
      <c r="FV40" s="1375"/>
      <c r="FW40" s="1375"/>
      <c r="FX40" s="1375"/>
      <c r="FY40" s="1375"/>
      <c r="FZ40" s="1375"/>
      <c r="GA40" s="1375"/>
      <c r="GB40" s="1375"/>
      <c r="GC40" s="1375"/>
      <c r="GD40" s="1375"/>
      <c r="GE40" s="1375"/>
      <c r="GF40" s="1375"/>
      <c r="GG40" s="1375"/>
      <c r="GH40" s="1375"/>
      <c r="GI40" s="1375"/>
      <c r="GJ40" s="1375"/>
      <c r="GK40" s="1375"/>
      <c r="GL40" s="1375"/>
      <c r="GM40" s="1375"/>
      <c r="GN40" s="1375"/>
      <c r="GO40" s="1375"/>
      <c r="GP40" s="1375"/>
      <c r="GQ40" s="1375"/>
      <c r="GR40" s="1375"/>
      <c r="GS40" s="1375"/>
      <c r="GT40" s="1375"/>
      <c r="GU40" s="1375"/>
      <c r="GV40" s="1375"/>
      <c r="GW40" s="1375"/>
      <c r="GX40" s="1375"/>
      <c r="GY40" s="1375"/>
      <c r="GZ40" s="1375"/>
      <c r="HA40" s="1375"/>
      <c r="HB40" s="1375"/>
      <c r="HC40" s="1375"/>
      <c r="HD40" s="7"/>
      <c r="JN40" s="140"/>
      <c r="JO40" s="140"/>
      <c r="JP40" s="140"/>
      <c r="JQ40" s="8"/>
      <c r="JR40" s="140"/>
      <c r="JS40" s="140"/>
      <c r="JT40" s="140"/>
      <c r="JU40" s="140"/>
      <c r="JV40" s="140"/>
      <c r="KG40" s="7" t="s">
        <v>1072</v>
      </c>
      <c r="KH40" s="7"/>
      <c r="KI40" s="7"/>
      <c r="KJ40" s="7"/>
      <c r="KK40" s="7"/>
      <c r="KL40" s="140"/>
      <c r="KM40" s="7" t="s">
        <v>1072</v>
      </c>
      <c r="QB40" s="33" t="s">
        <v>1072</v>
      </c>
    </row>
    <row r="41" spans="1:542" s="33" customFormat="1" ht="15.75" thickBot="1" x14ac:dyDescent="0.3">
      <c r="A41"/>
      <c r="B41"/>
      <c r="C41" s="1376"/>
      <c r="D41" s="140"/>
      <c r="E41" s="140"/>
      <c r="F41" s="8"/>
      <c r="G41" s="140"/>
      <c r="H41" s="647"/>
      <c r="I41" s="140"/>
      <c r="J41" s="140"/>
      <c r="K41" s="140"/>
      <c r="L41" s="140"/>
      <c r="M41" s="140"/>
      <c r="N41" s="1458"/>
      <c r="O41" s="1477" t="s">
        <v>910</v>
      </c>
      <c r="P41" s="1459"/>
      <c r="Q41" s="1459"/>
      <c r="R41" s="1460"/>
      <c r="S41" s="1460"/>
      <c r="T41" s="1460"/>
      <c r="U41" s="1460"/>
      <c r="V41" s="1460"/>
      <c r="W41" s="1461"/>
      <c r="X41"/>
      <c r="Y41"/>
      <c r="Z41"/>
      <c r="AA41"/>
      <c r="AB41"/>
      <c r="AC41"/>
      <c r="AD41" s="188"/>
      <c r="AF41" s="8"/>
      <c r="AG41" s="8"/>
      <c r="AH41" s="8"/>
      <c r="AI41" s="8"/>
      <c r="AJ41" s="8"/>
      <c r="AK41" s="8"/>
      <c r="AL41" s="8"/>
      <c r="AM41" s="8"/>
      <c r="AN41" s="8"/>
      <c r="AO41" s="8"/>
      <c r="AP41" s="8"/>
      <c r="AQ41" s="8"/>
      <c r="AR41" s="8"/>
      <c r="AS41" s="8"/>
      <c r="AT41" s="8"/>
      <c r="AU41" s="8"/>
      <c r="AV41" s="8"/>
      <c r="AW41" s="8"/>
      <c r="AX41" s="8"/>
      <c r="AZ41" s="7" t="s">
        <v>1072</v>
      </c>
      <c r="ER41" s="7" t="s">
        <v>1072</v>
      </c>
      <c r="ES41" s="1375"/>
      <c r="ET41" s="7" t="s">
        <v>1072</v>
      </c>
      <c r="EU41" s="1375"/>
      <c r="EV41" s="1375"/>
      <c r="EW41" s="1375"/>
      <c r="EX41" s="1375"/>
      <c r="EY41" s="1375"/>
      <c r="EZ41" s="1375"/>
      <c r="FA41" s="1375"/>
      <c r="FB41" s="1375"/>
      <c r="FC41" s="1375"/>
      <c r="FD41" s="1375"/>
      <c r="FE41" s="1375"/>
      <c r="FF41" s="1375"/>
      <c r="FG41" s="1375"/>
      <c r="FH41" s="1375"/>
      <c r="FI41" s="1375"/>
      <c r="FJ41" s="1375"/>
      <c r="FK41" s="1375"/>
      <c r="FL41" s="1375"/>
      <c r="FM41" s="1375"/>
      <c r="FN41" s="1375"/>
      <c r="FO41" s="1375"/>
      <c r="FP41" s="1375"/>
      <c r="FQ41" s="1375"/>
      <c r="FR41" s="1375"/>
      <c r="FS41" s="1375"/>
      <c r="FT41" s="1375"/>
      <c r="FU41" s="1375"/>
      <c r="FV41" s="1375"/>
      <c r="FW41" s="1375"/>
      <c r="FX41" s="1375"/>
      <c r="FY41" s="1375"/>
      <c r="FZ41" s="1375"/>
      <c r="GA41" s="1375"/>
      <c r="GB41" s="1375"/>
      <c r="GC41" s="1375"/>
      <c r="GD41" s="1375"/>
      <c r="GE41" s="1375"/>
      <c r="GF41" s="1375"/>
      <c r="GG41" s="1375"/>
      <c r="GH41" s="1375"/>
      <c r="GI41" s="1375"/>
      <c r="GJ41" s="1375"/>
      <c r="GK41" s="1375"/>
      <c r="GL41" s="1375"/>
      <c r="GM41" s="1375"/>
      <c r="GN41" s="1375"/>
      <c r="GO41" s="1375"/>
      <c r="GP41" s="1375"/>
      <c r="GQ41" s="1375"/>
      <c r="GR41" s="1375"/>
      <c r="GS41" s="1375"/>
      <c r="GT41" s="1375"/>
      <c r="GU41" s="1375"/>
      <c r="GV41" s="1375"/>
      <c r="GW41" s="1375"/>
      <c r="GX41" s="1375"/>
      <c r="GY41" s="1375"/>
      <c r="GZ41" s="1375"/>
      <c r="HA41" s="1375"/>
      <c r="HB41" s="1375"/>
      <c r="HC41" s="1375"/>
      <c r="HD41" s="7"/>
      <c r="JN41" s="140"/>
      <c r="JO41" s="140"/>
      <c r="JP41" s="140"/>
      <c r="JQ41" s="8"/>
      <c r="JR41" s="140"/>
      <c r="JS41" s="140"/>
      <c r="JT41" s="140"/>
      <c r="JU41" s="140"/>
      <c r="JV41" s="140"/>
      <c r="KG41" s="7" t="s">
        <v>1072</v>
      </c>
      <c r="KH41" s="7"/>
      <c r="KI41" s="7"/>
      <c r="KJ41" s="7"/>
      <c r="KK41" s="7"/>
      <c r="KL41" s="140"/>
      <c r="KM41" s="7" t="s">
        <v>1072</v>
      </c>
      <c r="QB41" s="33" t="s">
        <v>1072</v>
      </c>
    </row>
    <row r="42" spans="1:542" s="33" customFormat="1" x14ac:dyDescent="0.25">
      <c r="A42"/>
      <c r="B42" s="1567" t="s">
        <v>148</v>
      </c>
      <c r="C42" s="273" t="s">
        <v>160</v>
      </c>
      <c r="D42" s="274" t="s">
        <v>927</v>
      </c>
      <c r="E42" s="251" t="s">
        <v>162</v>
      </c>
      <c r="F42" s="251"/>
      <c r="G42" s="251"/>
      <c r="H42" s="249"/>
      <c r="I42" s="140"/>
      <c r="J42" s="140"/>
      <c r="K42" s="140"/>
      <c r="L42" s="140"/>
      <c r="M42" s="140"/>
      <c r="N42" s="1462"/>
      <c r="O42" s="1465"/>
      <c r="P42" s="1465"/>
      <c r="Q42" s="1466"/>
      <c r="R42" s="1466"/>
      <c r="S42" s="1466"/>
      <c r="T42" s="1466"/>
      <c r="U42" s="1466"/>
      <c r="V42" s="1466"/>
      <c r="W42" s="1478"/>
      <c r="X42"/>
      <c r="Y42"/>
      <c r="Z42"/>
      <c r="AA42"/>
      <c r="AB42"/>
      <c r="AC42"/>
      <c r="AF42" s="8"/>
      <c r="AG42" s="8"/>
      <c r="AH42" s="8"/>
      <c r="AI42" s="8"/>
      <c r="AJ42" s="8"/>
      <c r="AK42" s="8"/>
      <c r="AL42" s="8"/>
      <c r="AM42" s="8"/>
      <c r="AN42" s="8"/>
      <c r="AO42" s="8"/>
      <c r="AP42" s="8"/>
      <c r="AQ42" s="8"/>
      <c r="AR42" s="8"/>
      <c r="AS42" s="8"/>
      <c r="AT42" s="8"/>
      <c r="AU42" s="8"/>
      <c r="AV42" s="8"/>
      <c r="AW42" s="8"/>
      <c r="AX42" s="8"/>
      <c r="AZ42" s="7" t="s">
        <v>1072</v>
      </c>
      <c r="ER42" s="7" t="s">
        <v>1072</v>
      </c>
      <c r="ES42" s="1375"/>
      <c r="ET42" s="7" t="s">
        <v>1072</v>
      </c>
      <c r="EU42" s="1375"/>
      <c r="EV42" s="1375"/>
      <c r="EW42" s="1375"/>
      <c r="EX42" s="1375"/>
      <c r="EY42" s="1375"/>
      <c r="EZ42" s="1375"/>
      <c r="FA42" s="1375"/>
      <c r="FB42" s="1375"/>
      <c r="FC42" s="1375"/>
      <c r="FD42" s="1375"/>
      <c r="FE42" s="1375"/>
      <c r="FF42" s="1375"/>
      <c r="FG42" s="1375"/>
      <c r="FH42" s="1375"/>
      <c r="FI42" s="1375"/>
      <c r="FJ42" s="1375"/>
      <c r="FK42" s="1375"/>
      <c r="FL42" s="1375"/>
      <c r="FM42" s="1375"/>
      <c r="FN42" s="1375"/>
      <c r="FO42" s="1375"/>
      <c r="FP42" s="1375"/>
      <c r="FQ42" s="1375"/>
      <c r="FR42" s="1375"/>
      <c r="FS42" s="1375"/>
      <c r="FT42" s="1375"/>
      <c r="FU42" s="1375"/>
      <c r="FV42" s="1375"/>
      <c r="FW42" s="1375"/>
      <c r="FX42" s="1375"/>
      <c r="FY42" s="1375"/>
      <c r="FZ42" s="1375"/>
      <c r="GA42" s="1375"/>
      <c r="GB42" s="1375"/>
      <c r="GC42" s="1375"/>
      <c r="GD42" s="1375"/>
      <c r="GE42" s="1375"/>
      <c r="GF42" s="1375"/>
      <c r="GG42" s="1375"/>
      <c r="GH42" s="1375"/>
      <c r="GI42" s="1375"/>
      <c r="GJ42" s="1375"/>
      <c r="GK42" s="1375"/>
      <c r="GL42" s="1375"/>
      <c r="GM42" s="1375"/>
      <c r="GN42" s="1375"/>
      <c r="GO42" s="1375"/>
      <c r="GP42" s="1375"/>
      <c r="GQ42" s="1375"/>
      <c r="GR42" s="1375"/>
      <c r="GS42" s="1375"/>
      <c r="GT42" s="1375"/>
      <c r="GU42" s="1375"/>
      <c r="GV42" s="1375"/>
      <c r="GW42" s="1375"/>
      <c r="GX42" s="1375"/>
      <c r="GY42" s="1375"/>
      <c r="GZ42" s="1375"/>
      <c r="HA42" s="1375"/>
      <c r="HB42" s="1375"/>
      <c r="HC42" s="1375"/>
      <c r="HD42" s="7"/>
      <c r="JN42" s="140"/>
      <c r="JO42" s="140"/>
      <c r="JP42" s="140"/>
      <c r="JQ42" s="8"/>
      <c r="JR42" s="140"/>
      <c r="JS42" s="140"/>
      <c r="JT42" s="140"/>
      <c r="JU42" s="140"/>
      <c r="JV42" s="140"/>
      <c r="KG42" s="7" t="s">
        <v>1072</v>
      </c>
      <c r="KH42" s="7"/>
      <c r="KI42" s="7"/>
      <c r="KJ42" s="7"/>
      <c r="KK42" s="7"/>
      <c r="KL42" s="140"/>
      <c r="KM42" s="1423" t="s">
        <v>1087</v>
      </c>
      <c r="KN42" s="1422" t="s">
        <v>1088</v>
      </c>
      <c r="KO42" s="1423" t="s">
        <v>1087</v>
      </c>
      <c r="KP42" s="1422" t="s">
        <v>1088</v>
      </c>
      <c r="KQ42" s="1423" t="s">
        <v>1087</v>
      </c>
      <c r="KR42" s="1422" t="s">
        <v>1088</v>
      </c>
      <c r="KS42" s="1423" t="s">
        <v>1087</v>
      </c>
      <c r="KT42" s="1422" t="s">
        <v>1088</v>
      </c>
      <c r="KU42" s="1423" t="s">
        <v>1087</v>
      </c>
      <c r="KV42" s="1422" t="s">
        <v>1088</v>
      </c>
      <c r="KW42" s="1423" t="s">
        <v>1087</v>
      </c>
      <c r="KX42" s="1422" t="s">
        <v>1088</v>
      </c>
      <c r="KY42" s="1423" t="s">
        <v>1087</v>
      </c>
      <c r="KZ42" s="1422" t="s">
        <v>1088</v>
      </c>
      <c r="LA42" s="1423" t="s">
        <v>1087</v>
      </c>
      <c r="LB42" s="1422" t="s">
        <v>1088</v>
      </c>
      <c r="LC42" s="1423" t="s">
        <v>1087</v>
      </c>
      <c r="LD42" s="1422" t="s">
        <v>1088</v>
      </c>
      <c r="LE42" s="1423" t="s">
        <v>1087</v>
      </c>
      <c r="LF42" s="1422" t="s">
        <v>1088</v>
      </c>
      <c r="LG42" s="1423" t="s">
        <v>1087</v>
      </c>
      <c r="LH42" s="1422" t="s">
        <v>1088</v>
      </c>
      <c r="LI42" s="1423" t="s">
        <v>1087</v>
      </c>
      <c r="LJ42" s="1422" t="s">
        <v>1088</v>
      </c>
      <c r="LK42" s="1423" t="s">
        <v>1087</v>
      </c>
      <c r="LL42" s="1422" t="s">
        <v>1088</v>
      </c>
      <c r="LM42" s="1423" t="s">
        <v>1087</v>
      </c>
      <c r="LN42" s="1422" t="s">
        <v>1088</v>
      </c>
      <c r="LO42" s="1423" t="s">
        <v>1087</v>
      </c>
      <c r="LP42" s="1422" t="s">
        <v>1088</v>
      </c>
      <c r="LQ42" s="1423" t="s">
        <v>1087</v>
      </c>
      <c r="LR42" s="1422" t="s">
        <v>1088</v>
      </c>
      <c r="LS42" s="1423" t="s">
        <v>1087</v>
      </c>
      <c r="LT42" s="1422" t="s">
        <v>1088</v>
      </c>
      <c r="LU42" s="1423" t="s">
        <v>1087</v>
      </c>
      <c r="LV42" s="1422" t="s">
        <v>1088</v>
      </c>
      <c r="LW42" s="1423" t="s">
        <v>1087</v>
      </c>
      <c r="LX42" s="1422" t="s">
        <v>1088</v>
      </c>
      <c r="LY42" s="1423" t="s">
        <v>1087</v>
      </c>
      <c r="LZ42" s="1422" t="s">
        <v>1088</v>
      </c>
      <c r="MA42" s="1423" t="s">
        <v>1087</v>
      </c>
      <c r="MB42" s="1422" t="s">
        <v>1088</v>
      </c>
      <c r="MC42" s="1423" t="s">
        <v>1087</v>
      </c>
      <c r="MD42" s="1422" t="s">
        <v>1088</v>
      </c>
      <c r="ME42" s="1423" t="s">
        <v>1087</v>
      </c>
      <c r="MF42" s="1422" t="s">
        <v>1088</v>
      </c>
      <c r="MG42" s="1423" t="s">
        <v>1087</v>
      </c>
      <c r="MH42" s="1422" t="s">
        <v>1088</v>
      </c>
      <c r="MI42" s="1423" t="s">
        <v>1087</v>
      </c>
      <c r="MJ42" s="1422" t="s">
        <v>1088</v>
      </c>
      <c r="MK42" s="1423" t="s">
        <v>1087</v>
      </c>
      <c r="ML42" s="1422" t="s">
        <v>1088</v>
      </c>
      <c r="MM42" s="1423" t="s">
        <v>1087</v>
      </c>
      <c r="MN42" s="1422" t="s">
        <v>1088</v>
      </c>
      <c r="MO42" s="1423" t="s">
        <v>1087</v>
      </c>
      <c r="MP42" s="1422" t="s">
        <v>1088</v>
      </c>
      <c r="MQ42" s="1423" t="s">
        <v>1087</v>
      </c>
      <c r="MR42" s="1422" t="s">
        <v>1088</v>
      </c>
      <c r="MS42" s="1423" t="s">
        <v>1087</v>
      </c>
      <c r="MT42" s="1422" t="s">
        <v>1088</v>
      </c>
      <c r="MU42" s="1423" t="s">
        <v>1087</v>
      </c>
      <c r="MV42" s="1422" t="s">
        <v>1088</v>
      </c>
      <c r="MW42" s="1423" t="s">
        <v>1087</v>
      </c>
      <c r="MX42" s="1422" t="s">
        <v>1088</v>
      </c>
      <c r="MY42" s="1423" t="s">
        <v>1087</v>
      </c>
      <c r="MZ42" s="1422" t="s">
        <v>1088</v>
      </c>
      <c r="NA42" s="1423" t="s">
        <v>1087</v>
      </c>
      <c r="NB42" s="1422" t="s">
        <v>1088</v>
      </c>
      <c r="NC42" s="1423" t="s">
        <v>1087</v>
      </c>
      <c r="ND42" s="1422" t="s">
        <v>1088</v>
      </c>
      <c r="NE42" s="1423" t="s">
        <v>1087</v>
      </c>
      <c r="NF42" s="1422" t="s">
        <v>1088</v>
      </c>
      <c r="NG42" s="1423" t="s">
        <v>1087</v>
      </c>
      <c r="NH42" s="1422" t="s">
        <v>1088</v>
      </c>
      <c r="NI42" s="1423" t="s">
        <v>1087</v>
      </c>
      <c r="NJ42" s="1422" t="s">
        <v>1088</v>
      </c>
      <c r="NK42" s="1423" t="s">
        <v>1087</v>
      </c>
      <c r="NL42" s="1422" t="s">
        <v>1088</v>
      </c>
      <c r="NM42" s="1423" t="s">
        <v>1087</v>
      </c>
      <c r="NN42" s="1422" t="s">
        <v>1088</v>
      </c>
      <c r="NO42" s="1423" t="s">
        <v>1087</v>
      </c>
      <c r="NP42" s="1422" t="s">
        <v>1088</v>
      </c>
      <c r="NQ42" s="1423" t="s">
        <v>1087</v>
      </c>
      <c r="NR42" s="1422" t="s">
        <v>1088</v>
      </c>
      <c r="NS42" s="1423" t="s">
        <v>1087</v>
      </c>
      <c r="NT42" s="1422" t="s">
        <v>1088</v>
      </c>
      <c r="NU42" s="1423" t="s">
        <v>1087</v>
      </c>
      <c r="NV42" s="1422" t="s">
        <v>1088</v>
      </c>
      <c r="NW42" s="1423" t="s">
        <v>1087</v>
      </c>
      <c r="NX42" s="1422" t="s">
        <v>1088</v>
      </c>
      <c r="NY42" s="1423" t="s">
        <v>1087</v>
      </c>
      <c r="NZ42" s="1422" t="s">
        <v>1088</v>
      </c>
      <c r="OA42" s="1423" t="s">
        <v>1087</v>
      </c>
      <c r="OB42" s="1422" t="s">
        <v>1088</v>
      </c>
      <c r="OC42" s="1423" t="s">
        <v>1087</v>
      </c>
      <c r="OD42" s="1422" t="s">
        <v>1088</v>
      </c>
      <c r="OE42" s="1423" t="s">
        <v>1087</v>
      </c>
      <c r="OF42" s="1422" t="s">
        <v>1088</v>
      </c>
      <c r="OG42" s="1423" t="s">
        <v>1087</v>
      </c>
      <c r="OH42" s="1422" t="s">
        <v>1088</v>
      </c>
      <c r="OI42" s="1423" t="s">
        <v>1087</v>
      </c>
      <c r="OJ42" s="1422" t="s">
        <v>1088</v>
      </c>
      <c r="OK42" s="1423" t="s">
        <v>1087</v>
      </c>
      <c r="OL42" s="1422" t="s">
        <v>1088</v>
      </c>
      <c r="OM42" s="1423" t="s">
        <v>1087</v>
      </c>
      <c r="ON42" s="1422" t="s">
        <v>1088</v>
      </c>
      <c r="OO42" s="1423" t="s">
        <v>1087</v>
      </c>
      <c r="OP42" s="1422" t="s">
        <v>1088</v>
      </c>
      <c r="OQ42" s="1423" t="s">
        <v>1087</v>
      </c>
      <c r="OR42" s="1422" t="s">
        <v>1088</v>
      </c>
      <c r="OS42" s="1423" t="s">
        <v>1087</v>
      </c>
      <c r="OT42" s="1422" t="s">
        <v>1088</v>
      </c>
      <c r="OU42" s="1423" t="s">
        <v>1087</v>
      </c>
      <c r="OV42" s="1422" t="s">
        <v>1088</v>
      </c>
      <c r="OW42" s="1423" t="s">
        <v>1087</v>
      </c>
      <c r="OX42" s="1422" t="s">
        <v>1088</v>
      </c>
      <c r="OY42" s="1423" t="s">
        <v>1087</v>
      </c>
      <c r="OZ42" s="1422" t="s">
        <v>1088</v>
      </c>
      <c r="PA42" s="1423" t="s">
        <v>1087</v>
      </c>
      <c r="PB42" s="1422" t="s">
        <v>1088</v>
      </c>
      <c r="PC42" s="1423" t="s">
        <v>1087</v>
      </c>
      <c r="PD42" s="1422" t="s">
        <v>1088</v>
      </c>
      <c r="PE42" s="1423" t="s">
        <v>1087</v>
      </c>
      <c r="PF42" s="1422" t="s">
        <v>1088</v>
      </c>
      <c r="PG42" s="1423" t="s">
        <v>1087</v>
      </c>
      <c r="PH42" s="1422" t="s">
        <v>1088</v>
      </c>
      <c r="PI42" s="1423" t="s">
        <v>1087</v>
      </c>
      <c r="PJ42" s="1422" t="s">
        <v>1088</v>
      </c>
      <c r="PK42" s="1423" t="s">
        <v>1087</v>
      </c>
      <c r="PL42" s="1422" t="s">
        <v>1088</v>
      </c>
      <c r="PM42" s="1423" t="s">
        <v>1087</v>
      </c>
      <c r="PN42" s="1422" t="s">
        <v>1088</v>
      </c>
      <c r="PO42" s="1423" t="s">
        <v>1087</v>
      </c>
      <c r="PP42" s="1422" t="s">
        <v>1088</v>
      </c>
      <c r="PQ42" s="1423" t="s">
        <v>1087</v>
      </c>
      <c r="PR42" s="1422" t="s">
        <v>1088</v>
      </c>
      <c r="PS42" s="1423" t="s">
        <v>1087</v>
      </c>
      <c r="PT42" s="1422" t="s">
        <v>1088</v>
      </c>
      <c r="PU42" s="1423" t="s">
        <v>1087</v>
      </c>
      <c r="PV42" s="1422" t="s">
        <v>1088</v>
      </c>
      <c r="PW42" s="1423" t="s">
        <v>1087</v>
      </c>
      <c r="PX42" s="1422" t="s">
        <v>1088</v>
      </c>
      <c r="PY42" s="1423" t="s">
        <v>1087</v>
      </c>
      <c r="PZ42" s="1422" t="s">
        <v>1088</v>
      </c>
      <c r="QB42" s="33" t="s">
        <v>1072</v>
      </c>
    </row>
    <row r="43" spans="1:542" x14ac:dyDescent="0.25">
      <c r="B43" s="1568"/>
      <c r="C43" s="17" t="s">
        <v>135</v>
      </c>
      <c r="D43" s="254">
        <v>144</v>
      </c>
      <c r="E43" s="17" t="s">
        <v>136</v>
      </c>
      <c r="F43" s="17"/>
      <c r="G43" s="17"/>
      <c r="H43" s="195"/>
      <c r="I43" s="17"/>
      <c r="J43" s="17"/>
      <c r="K43" s="17"/>
      <c r="L43" s="17"/>
      <c r="AF43" s="8"/>
      <c r="AG43" s="8"/>
      <c r="AH43" s="8"/>
      <c r="AI43" s="8"/>
      <c r="AJ43" s="8"/>
      <c r="AK43" s="8"/>
      <c r="AL43" s="8"/>
      <c r="AM43" s="8"/>
      <c r="AN43" s="8"/>
      <c r="AO43" s="8"/>
      <c r="AP43" s="8"/>
      <c r="AQ43" s="8"/>
      <c r="AR43" s="8"/>
      <c r="AS43" s="8"/>
      <c r="AT43" s="8"/>
      <c r="AU43" s="8"/>
      <c r="AV43" s="8"/>
      <c r="AW43" s="8"/>
      <c r="AX43" s="8"/>
      <c r="AZ43" s="7" t="s">
        <v>1072</v>
      </c>
      <c r="ER43" s="7" t="s">
        <v>1072</v>
      </c>
      <c r="ET43" s="7" t="s">
        <v>1072</v>
      </c>
      <c r="HD43" s="7"/>
      <c r="JN43" s="8"/>
      <c r="JO43" s="8"/>
      <c r="JP43" s="194"/>
      <c r="JQ43" s="1240"/>
      <c r="JR43" s="8"/>
      <c r="JS43" s="8"/>
      <c r="JT43" s="8"/>
      <c r="JU43" s="8"/>
      <c r="JV43" s="8"/>
      <c r="KG43" s="7" t="s">
        <v>1072</v>
      </c>
      <c r="KH43" s="7"/>
      <c r="KJ43" s="7"/>
      <c r="KK43" s="7"/>
      <c r="KM43" s="1626" t="s">
        <v>1085</v>
      </c>
      <c r="KN43" s="1626"/>
      <c r="KO43" s="1625" t="s">
        <v>1086</v>
      </c>
      <c r="KP43" s="1625"/>
      <c r="KQ43" s="1626" t="s">
        <v>1085</v>
      </c>
      <c r="KR43" s="1626"/>
      <c r="KS43" s="1625" t="s">
        <v>1086</v>
      </c>
      <c r="KT43" s="1625"/>
      <c r="KU43" s="1626" t="s">
        <v>1085</v>
      </c>
      <c r="KV43" s="1626"/>
      <c r="KW43" s="1625" t="s">
        <v>1086</v>
      </c>
      <c r="KX43" s="1625"/>
      <c r="KY43" s="1626" t="s">
        <v>1085</v>
      </c>
      <c r="KZ43" s="1626"/>
      <c r="LA43" s="1625" t="s">
        <v>1086</v>
      </c>
      <c r="LB43" s="1625"/>
      <c r="LC43" s="1626" t="s">
        <v>1085</v>
      </c>
      <c r="LD43" s="1626"/>
      <c r="LE43" s="1625" t="s">
        <v>1086</v>
      </c>
      <c r="LF43" s="1625"/>
      <c r="LG43" s="1626" t="s">
        <v>1085</v>
      </c>
      <c r="LH43" s="1626"/>
      <c r="LI43" s="1625" t="s">
        <v>1086</v>
      </c>
      <c r="LJ43" s="1625"/>
      <c r="LK43" s="1626" t="s">
        <v>1085</v>
      </c>
      <c r="LL43" s="1626"/>
      <c r="LM43" s="1625" t="s">
        <v>1086</v>
      </c>
      <c r="LN43" s="1625"/>
      <c r="LO43" s="1626" t="s">
        <v>1085</v>
      </c>
      <c r="LP43" s="1626"/>
      <c r="LQ43" s="1625" t="s">
        <v>1086</v>
      </c>
      <c r="LR43" s="1625"/>
      <c r="LS43" s="1626" t="s">
        <v>1085</v>
      </c>
      <c r="LT43" s="1626"/>
      <c r="LU43" s="1625" t="s">
        <v>1086</v>
      </c>
      <c r="LV43" s="1625"/>
      <c r="LW43" s="1626" t="s">
        <v>1085</v>
      </c>
      <c r="LX43" s="1626"/>
      <c r="LY43" s="1625" t="s">
        <v>1086</v>
      </c>
      <c r="LZ43" s="1625"/>
      <c r="MA43" s="1626" t="s">
        <v>1085</v>
      </c>
      <c r="MB43" s="1626"/>
      <c r="MC43" s="1625" t="s">
        <v>1086</v>
      </c>
      <c r="MD43" s="1625"/>
      <c r="ME43" s="1626" t="s">
        <v>1085</v>
      </c>
      <c r="MF43" s="1626"/>
      <c r="MG43" s="1625" t="s">
        <v>1086</v>
      </c>
      <c r="MH43" s="1625"/>
      <c r="MI43" s="1626" t="s">
        <v>1085</v>
      </c>
      <c r="MJ43" s="1626"/>
      <c r="MK43" s="1625" t="s">
        <v>1086</v>
      </c>
      <c r="ML43" s="1625"/>
      <c r="MM43" s="1626" t="s">
        <v>1085</v>
      </c>
      <c r="MN43" s="1626"/>
      <c r="MO43" s="1625" t="s">
        <v>1086</v>
      </c>
      <c r="MP43" s="1625"/>
      <c r="MQ43" s="1626" t="s">
        <v>1085</v>
      </c>
      <c r="MR43" s="1626"/>
      <c r="MS43" s="1625" t="s">
        <v>1086</v>
      </c>
      <c r="MT43" s="1625"/>
      <c r="MU43" s="1626" t="s">
        <v>1085</v>
      </c>
      <c r="MV43" s="1626"/>
      <c r="MW43" s="1625" t="s">
        <v>1086</v>
      </c>
      <c r="MX43" s="1625"/>
      <c r="MY43" s="1626" t="s">
        <v>1085</v>
      </c>
      <c r="MZ43" s="1626"/>
      <c r="NA43" s="1625" t="s">
        <v>1086</v>
      </c>
      <c r="NB43" s="1625"/>
      <c r="NC43" s="1626" t="s">
        <v>1085</v>
      </c>
      <c r="ND43" s="1626"/>
      <c r="NE43" s="1625" t="s">
        <v>1086</v>
      </c>
      <c r="NF43" s="1625"/>
      <c r="NG43" s="1626" t="s">
        <v>1085</v>
      </c>
      <c r="NH43" s="1626"/>
      <c r="NI43" s="1625" t="s">
        <v>1086</v>
      </c>
      <c r="NJ43" s="1625"/>
      <c r="NK43" s="1626" t="s">
        <v>1085</v>
      </c>
      <c r="NL43" s="1626"/>
      <c r="NM43" s="1625" t="s">
        <v>1086</v>
      </c>
      <c r="NN43" s="1625"/>
      <c r="NO43" s="1626" t="s">
        <v>1085</v>
      </c>
      <c r="NP43" s="1626"/>
      <c r="NQ43" s="1625" t="s">
        <v>1086</v>
      </c>
      <c r="NR43" s="1625"/>
      <c r="NS43" s="1626" t="s">
        <v>1085</v>
      </c>
      <c r="NT43" s="1626"/>
      <c r="NU43" s="1625" t="s">
        <v>1086</v>
      </c>
      <c r="NV43" s="1625"/>
      <c r="NW43" s="1626" t="s">
        <v>1085</v>
      </c>
      <c r="NX43" s="1626"/>
      <c r="NY43" s="1625" t="s">
        <v>1086</v>
      </c>
      <c r="NZ43" s="1625"/>
      <c r="OA43" s="1626" t="s">
        <v>1085</v>
      </c>
      <c r="OB43" s="1626"/>
      <c r="OC43" s="1625" t="s">
        <v>1086</v>
      </c>
      <c r="OD43" s="1625"/>
      <c r="OE43" s="1626" t="s">
        <v>1085</v>
      </c>
      <c r="OF43" s="1626"/>
      <c r="OG43" s="1625" t="s">
        <v>1086</v>
      </c>
      <c r="OH43" s="1625"/>
      <c r="OI43" s="1626" t="s">
        <v>1085</v>
      </c>
      <c r="OJ43" s="1626"/>
      <c r="OK43" s="1625" t="s">
        <v>1086</v>
      </c>
      <c r="OL43" s="1625"/>
      <c r="OM43" s="1626" t="s">
        <v>1085</v>
      </c>
      <c r="ON43" s="1626"/>
      <c r="OO43" s="1625" t="s">
        <v>1086</v>
      </c>
      <c r="OP43" s="1625"/>
      <c r="OQ43" s="1626" t="s">
        <v>1085</v>
      </c>
      <c r="OR43" s="1626"/>
      <c r="OS43" s="1625" t="s">
        <v>1086</v>
      </c>
      <c r="OT43" s="1625"/>
      <c r="OU43" s="1626" t="s">
        <v>1085</v>
      </c>
      <c r="OV43" s="1626"/>
      <c r="OW43" s="1625" t="s">
        <v>1086</v>
      </c>
      <c r="OX43" s="1625"/>
      <c r="OY43" s="1626" t="s">
        <v>1085</v>
      </c>
      <c r="OZ43" s="1626"/>
      <c r="PA43" s="1625" t="s">
        <v>1086</v>
      </c>
      <c r="PB43" s="1625"/>
      <c r="PC43" s="1626" t="s">
        <v>1085</v>
      </c>
      <c r="PD43" s="1626"/>
      <c r="PE43" s="1625" t="s">
        <v>1086</v>
      </c>
      <c r="PF43" s="1625"/>
      <c r="PG43" s="1626" t="s">
        <v>1085</v>
      </c>
      <c r="PH43" s="1626"/>
      <c r="PI43" s="1625" t="s">
        <v>1086</v>
      </c>
      <c r="PJ43" s="1625"/>
      <c r="PK43" s="1626" t="s">
        <v>1085</v>
      </c>
      <c r="PL43" s="1626"/>
      <c r="PM43" s="1625" t="s">
        <v>1086</v>
      </c>
      <c r="PN43" s="1625"/>
      <c r="PO43" s="1626" t="s">
        <v>1085</v>
      </c>
      <c r="PP43" s="1626"/>
      <c r="PQ43" s="1625" t="s">
        <v>1086</v>
      </c>
      <c r="PR43" s="1625"/>
      <c r="PS43" s="1626" t="s">
        <v>1085</v>
      </c>
      <c r="PT43" s="1626"/>
      <c r="PU43" s="1625" t="s">
        <v>1086</v>
      </c>
      <c r="PV43" s="1625"/>
      <c r="PW43" s="1626" t="s">
        <v>1085</v>
      </c>
      <c r="PX43" s="1626"/>
      <c r="PY43" s="1625" t="s">
        <v>1086</v>
      </c>
      <c r="PZ43" s="1625"/>
      <c r="QB43" s="33" t="s">
        <v>1072</v>
      </c>
    </row>
    <row r="44" spans="1:542" x14ac:dyDescent="0.25">
      <c r="B44" s="1568"/>
      <c r="C44" s="17" t="s">
        <v>5</v>
      </c>
      <c r="D44" s="1251">
        <v>4</v>
      </c>
      <c r="E44" s="17" t="s">
        <v>139</v>
      </c>
      <c r="F44" s="17"/>
      <c r="G44" s="17"/>
      <c r="H44" s="195"/>
      <c r="AZ44" s="7" t="s">
        <v>1072</v>
      </c>
      <c r="ER44" s="7" t="s">
        <v>1072</v>
      </c>
      <c r="ET44" s="7" t="s">
        <v>1072</v>
      </c>
      <c r="HD44" s="7"/>
      <c r="JN44" s="8"/>
      <c r="JO44" s="8"/>
      <c r="JP44" s="8"/>
      <c r="JQ44" s="8"/>
      <c r="JR44" s="8"/>
      <c r="JS44" s="8"/>
      <c r="JT44" s="8"/>
      <c r="JU44" s="8"/>
      <c r="JV44" s="8"/>
      <c r="KG44" s="7" t="s">
        <v>1072</v>
      </c>
      <c r="KH44" s="7"/>
      <c r="KJ44" s="7"/>
      <c r="KK44" s="7"/>
      <c r="KM44" s="1628" t="s">
        <v>1083</v>
      </c>
      <c r="KN44" s="1628"/>
      <c r="KO44" s="1628"/>
      <c r="KP44" s="1628"/>
      <c r="KQ44" s="1627" t="s">
        <v>1084</v>
      </c>
      <c r="KR44" s="1627"/>
      <c r="KS44" s="1627"/>
      <c r="KT44" s="1627"/>
      <c r="KU44" s="1628" t="s">
        <v>1083</v>
      </c>
      <c r="KV44" s="1628"/>
      <c r="KW44" s="1628"/>
      <c r="KX44" s="1628"/>
      <c r="KY44" s="1627" t="s">
        <v>1084</v>
      </c>
      <c r="KZ44" s="1627"/>
      <c r="LA44" s="1627"/>
      <c r="LB44" s="1627"/>
      <c r="LC44" s="1628" t="s">
        <v>1083</v>
      </c>
      <c r="LD44" s="1628"/>
      <c r="LE44" s="1628"/>
      <c r="LF44" s="1628"/>
      <c r="LG44" s="1627" t="s">
        <v>1084</v>
      </c>
      <c r="LH44" s="1627"/>
      <c r="LI44" s="1627"/>
      <c r="LJ44" s="1627"/>
      <c r="LK44" s="1628" t="s">
        <v>1083</v>
      </c>
      <c r="LL44" s="1628"/>
      <c r="LM44" s="1628"/>
      <c r="LN44" s="1628"/>
      <c r="LO44" s="1627" t="s">
        <v>1084</v>
      </c>
      <c r="LP44" s="1627"/>
      <c r="LQ44" s="1627"/>
      <c r="LR44" s="1627"/>
      <c r="LS44" s="1628" t="s">
        <v>1083</v>
      </c>
      <c r="LT44" s="1628"/>
      <c r="LU44" s="1628"/>
      <c r="LV44" s="1628"/>
      <c r="LW44" s="1627" t="s">
        <v>1084</v>
      </c>
      <c r="LX44" s="1627"/>
      <c r="LY44" s="1627"/>
      <c r="LZ44" s="1627"/>
      <c r="MA44" s="1628" t="s">
        <v>1083</v>
      </c>
      <c r="MB44" s="1628"/>
      <c r="MC44" s="1628"/>
      <c r="MD44" s="1628"/>
      <c r="ME44" s="1627" t="s">
        <v>1084</v>
      </c>
      <c r="MF44" s="1627"/>
      <c r="MG44" s="1627"/>
      <c r="MH44" s="1627"/>
      <c r="MI44" s="1628" t="s">
        <v>1083</v>
      </c>
      <c r="MJ44" s="1628"/>
      <c r="MK44" s="1628"/>
      <c r="ML44" s="1628"/>
      <c r="MM44" s="1627" t="s">
        <v>1084</v>
      </c>
      <c r="MN44" s="1627"/>
      <c r="MO44" s="1627"/>
      <c r="MP44" s="1627"/>
      <c r="MQ44" s="1628" t="s">
        <v>1083</v>
      </c>
      <c r="MR44" s="1628"/>
      <c r="MS44" s="1628"/>
      <c r="MT44" s="1628"/>
      <c r="MU44" s="1627" t="s">
        <v>1084</v>
      </c>
      <c r="MV44" s="1627"/>
      <c r="MW44" s="1627"/>
      <c r="MX44" s="1627"/>
      <c r="MY44" s="1628" t="s">
        <v>1083</v>
      </c>
      <c r="MZ44" s="1628"/>
      <c r="NA44" s="1628"/>
      <c r="NB44" s="1628"/>
      <c r="NC44" s="1627" t="s">
        <v>1084</v>
      </c>
      <c r="ND44" s="1627"/>
      <c r="NE44" s="1627"/>
      <c r="NF44" s="1627"/>
      <c r="NG44" s="1628" t="s">
        <v>1083</v>
      </c>
      <c r="NH44" s="1628"/>
      <c r="NI44" s="1628"/>
      <c r="NJ44" s="1628"/>
      <c r="NK44" s="1627" t="s">
        <v>1084</v>
      </c>
      <c r="NL44" s="1627"/>
      <c r="NM44" s="1627"/>
      <c r="NN44" s="1627"/>
      <c r="NO44" s="1628" t="s">
        <v>1083</v>
      </c>
      <c r="NP44" s="1628"/>
      <c r="NQ44" s="1628"/>
      <c r="NR44" s="1628"/>
      <c r="NS44" s="1627" t="s">
        <v>1084</v>
      </c>
      <c r="NT44" s="1627"/>
      <c r="NU44" s="1627"/>
      <c r="NV44" s="1627"/>
      <c r="NW44" s="1628" t="s">
        <v>1083</v>
      </c>
      <c r="NX44" s="1628"/>
      <c r="NY44" s="1628"/>
      <c r="NZ44" s="1628"/>
      <c r="OA44" s="1627" t="s">
        <v>1084</v>
      </c>
      <c r="OB44" s="1627"/>
      <c r="OC44" s="1627"/>
      <c r="OD44" s="1627"/>
      <c r="OE44" s="1628" t="s">
        <v>1083</v>
      </c>
      <c r="OF44" s="1628"/>
      <c r="OG44" s="1628"/>
      <c r="OH44" s="1628"/>
      <c r="OI44" s="1627" t="s">
        <v>1084</v>
      </c>
      <c r="OJ44" s="1627"/>
      <c r="OK44" s="1627"/>
      <c r="OL44" s="1627"/>
      <c r="OM44" s="1628" t="s">
        <v>1083</v>
      </c>
      <c r="ON44" s="1628"/>
      <c r="OO44" s="1628"/>
      <c r="OP44" s="1628"/>
      <c r="OQ44" s="1627" t="s">
        <v>1084</v>
      </c>
      <c r="OR44" s="1627"/>
      <c r="OS44" s="1627"/>
      <c r="OT44" s="1627"/>
      <c r="OU44" s="1628" t="s">
        <v>1083</v>
      </c>
      <c r="OV44" s="1628"/>
      <c r="OW44" s="1628"/>
      <c r="OX44" s="1628"/>
      <c r="OY44" s="1627" t="s">
        <v>1084</v>
      </c>
      <c r="OZ44" s="1627"/>
      <c r="PA44" s="1627"/>
      <c r="PB44" s="1627"/>
      <c r="PC44" s="1628" t="s">
        <v>1083</v>
      </c>
      <c r="PD44" s="1628"/>
      <c r="PE44" s="1628"/>
      <c r="PF44" s="1628"/>
      <c r="PG44" s="1627" t="s">
        <v>1084</v>
      </c>
      <c r="PH44" s="1627"/>
      <c r="PI44" s="1627"/>
      <c r="PJ44" s="1627"/>
      <c r="PK44" s="1628" t="s">
        <v>1083</v>
      </c>
      <c r="PL44" s="1628"/>
      <c r="PM44" s="1628"/>
      <c r="PN44" s="1628"/>
      <c r="PO44" s="1627" t="s">
        <v>1084</v>
      </c>
      <c r="PP44" s="1627"/>
      <c r="PQ44" s="1627"/>
      <c r="PR44" s="1627"/>
      <c r="PS44" s="1628" t="s">
        <v>1083</v>
      </c>
      <c r="PT44" s="1628"/>
      <c r="PU44" s="1628"/>
      <c r="PV44" s="1628"/>
      <c r="PW44" s="1627" t="s">
        <v>1084</v>
      </c>
      <c r="PX44" s="1627"/>
      <c r="PY44" s="1627"/>
      <c r="PZ44" s="1627"/>
      <c r="QB44" s="33" t="s">
        <v>1072</v>
      </c>
    </row>
    <row r="45" spans="1:542" ht="15.75" thickBot="1" x14ac:dyDescent="0.3">
      <c r="B45" s="1569"/>
      <c r="C45" s="166" t="s">
        <v>137</v>
      </c>
      <c r="D45" s="1498">
        <f>D44*LN(D43)</f>
        <v>19.879253198304003</v>
      </c>
      <c r="E45" s="166" t="s">
        <v>138</v>
      </c>
      <c r="F45" s="252"/>
      <c r="G45" s="252"/>
      <c r="H45" s="250"/>
      <c r="AZ45" s="7" t="s">
        <v>1072</v>
      </c>
      <c r="ER45" s="7" t="s">
        <v>1072</v>
      </c>
      <c r="ET45" s="7" t="s">
        <v>1072</v>
      </c>
      <c r="HD45" s="7"/>
      <c r="KG45" s="7" t="s">
        <v>1072</v>
      </c>
      <c r="KH45" s="7"/>
      <c r="KI45" s="8"/>
      <c r="KJ45" s="7"/>
      <c r="KK45" s="7"/>
      <c r="KM45" s="1630" t="s">
        <v>1081</v>
      </c>
      <c r="KN45" s="1630"/>
      <c r="KO45" s="1630"/>
      <c r="KP45" s="1630"/>
      <c r="KQ45" s="1630"/>
      <c r="KR45" s="1630"/>
      <c r="KS45" s="1630"/>
      <c r="KT45" s="1630"/>
      <c r="KU45" s="1629" t="s">
        <v>1082</v>
      </c>
      <c r="KV45" s="1629"/>
      <c r="KW45" s="1629"/>
      <c r="KX45" s="1629"/>
      <c r="KY45" s="1629"/>
      <c r="KZ45" s="1629"/>
      <c r="LA45" s="1629"/>
      <c r="LB45" s="1629"/>
      <c r="LC45" s="1630" t="s">
        <v>1081</v>
      </c>
      <c r="LD45" s="1630"/>
      <c r="LE45" s="1630"/>
      <c r="LF45" s="1630"/>
      <c r="LG45" s="1630"/>
      <c r="LH45" s="1630"/>
      <c r="LI45" s="1630"/>
      <c r="LJ45" s="1630"/>
      <c r="LK45" s="1629" t="s">
        <v>1082</v>
      </c>
      <c r="LL45" s="1629"/>
      <c r="LM45" s="1629"/>
      <c r="LN45" s="1629"/>
      <c r="LO45" s="1629"/>
      <c r="LP45" s="1629"/>
      <c r="LQ45" s="1629"/>
      <c r="LR45" s="1629"/>
      <c r="LS45" s="1630" t="s">
        <v>1081</v>
      </c>
      <c r="LT45" s="1630"/>
      <c r="LU45" s="1630"/>
      <c r="LV45" s="1630"/>
      <c r="LW45" s="1630"/>
      <c r="LX45" s="1630"/>
      <c r="LY45" s="1630"/>
      <c r="LZ45" s="1630"/>
      <c r="MA45" s="1629" t="s">
        <v>1082</v>
      </c>
      <c r="MB45" s="1629"/>
      <c r="MC45" s="1629"/>
      <c r="MD45" s="1629"/>
      <c r="ME45" s="1629"/>
      <c r="MF45" s="1629"/>
      <c r="MG45" s="1629"/>
      <c r="MH45" s="1629"/>
      <c r="MI45" s="1630" t="s">
        <v>1081</v>
      </c>
      <c r="MJ45" s="1630"/>
      <c r="MK45" s="1630"/>
      <c r="ML45" s="1630"/>
      <c r="MM45" s="1630"/>
      <c r="MN45" s="1630"/>
      <c r="MO45" s="1630"/>
      <c r="MP45" s="1630"/>
      <c r="MQ45" s="1629" t="s">
        <v>1082</v>
      </c>
      <c r="MR45" s="1629"/>
      <c r="MS45" s="1629"/>
      <c r="MT45" s="1629"/>
      <c r="MU45" s="1629"/>
      <c r="MV45" s="1629"/>
      <c r="MW45" s="1629"/>
      <c r="MX45" s="1629"/>
      <c r="MY45" s="1630" t="s">
        <v>1081</v>
      </c>
      <c r="MZ45" s="1630"/>
      <c r="NA45" s="1630"/>
      <c r="NB45" s="1630"/>
      <c r="NC45" s="1630"/>
      <c r="ND45" s="1630"/>
      <c r="NE45" s="1630"/>
      <c r="NF45" s="1630"/>
      <c r="NG45" s="1629" t="s">
        <v>1082</v>
      </c>
      <c r="NH45" s="1629"/>
      <c r="NI45" s="1629"/>
      <c r="NJ45" s="1629"/>
      <c r="NK45" s="1629"/>
      <c r="NL45" s="1629"/>
      <c r="NM45" s="1629"/>
      <c r="NN45" s="1629"/>
      <c r="NO45" s="1630" t="s">
        <v>1081</v>
      </c>
      <c r="NP45" s="1630"/>
      <c r="NQ45" s="1630"/>
      <c r="NR45" s="1630"/>
      <c r="NS45" s="1630"/>
      <c r="NT45" s="1630"/>
      <c r="NU45" s="1630"/>
      <c r="NV45" s="1630"/>
      <c r="NW45" s="1629" t="s">
        <v>1082</v>
      </c>
      <c r="NX45" s="1629"/>
      <c r="NY45" s="1629"/>
      <c r="NZ45" s="1629"/>
      <c r="OA45" s="1629"/>
      <c r="OB45" s="1629"/>
      <c r="OC45" s="1629"/>
      <c r="OD45" s="1629"/>
      <c r="OE45" s="1630" t="s">
        <v>1081</v>
      </c>
      <c r="OF45" s="1630"/>
      <c r="OG45" s="1630"/>
      <c r="OH45" s="1630"/>
      <c r="OI45" s="1630"/>
      <c r="OJ45" s="1630"/>
      <c r="OK45" s="1630"/>
      <c r="OL45" s="1630"/>
      <c r="OM45" s="1629" t="s">
        <v>1082</v>
      </c>
      <c r="ON45" s="1629"/>
      <c r="OO45" s="1629"/>
      <c r="OP45" s="1629"/>
      <c r="OQ45" s="1629"/>
      <c r="OR45" s="1629"/>
      <c r="OS45" s="1629"/>
      <c r="OT45" s="1629"/>
      <c r="OU45" s="1630" t="s">
        <v>1081</v>
      </c>
      <c r="OV45" s="1630"/>
      <c r="OW45" s="1630"/>
      <c r="OX45" s="1630"/>
      <c r="OY45" s="1630"/>
      <c r="OZ45" s="1630"/>
      <c r="PA45" s="1630"/>
      <c r="PB45" s="1630"/>
      <c r="PC45" s="1629" t="s">
        <v>1082</v>
      </c>
      <c r="PD45" s="1629"/>
      <c r="PE45" s="1629"/>
      <c r="PF45" s="1629"/>
      <c r="PG45" s="1629"/>
      <c r="PH45" s="1629"/>
      <c r="PI45" s="1629"/>
      <c r="PJ45" s="1629"/>
      <c r="PK45" s="1630" t="s">
        <v>1081</v>
      </c>
      <c r="PL45" s="1630"/>
      <c r="PM45" s="1630"/>
      <c r="PN45" s="1630"/>
      <c r="PO45" s="1630"/>
      <c r="PP45" s="1630"/>
      <c r="PQ45" s="1630"/>
      <c r="PR45" s="1630"/>
      <c r="PS45" s="1629" t="s">
        <v>1082</v>
      </c>
      <c r="PT45" s="1629"/>
      <c r="PU45" s="1629"/>
      <c r="PV45" s="1629"/>
      <c r="PW45" s="1629"/>
      <c r="PX45" s="1629"/>
      <c r="PY45" s="1629"/>
      <c r="PZ45" s="1629"/>
      <c r="QB45" s="33" t="s">
        <v>1072</v>
      </c>
    </row>
    <row r="46" spans="1:542" x14ac:dyDescent="0.25">
      <c r="AZ46" s="7" t="s">
        <v>1072</v>
      </c>
      <c r="ER46" s="7" t="s">
        <v>1072</v>
      </c>
      <c r="ET46" s="7" t="s">
        <v>1072</v>
      </c>
      <c r="HD46" s="7"/>
      <c r="KG46" s="7" t="s">
        <v>1072</v>
      </c>
      <c r="KH46" s="8"/>
      <c r="KI46" s="8"/>
      <c r="KJ46" s="7"/>
      <c r="KK46" s="7"/>
      <c r="KM46" s="1640" t="s">
        <v>1078</v>
      </c>
      <c r="KN46" s="1641"/>
      <c r="KO46" s="1641"/>
      <c r="KP46" s="1641"/>
      <c r="KQ46" s="1641"/>
      <c r="KR46" s="1641"/>
      <c r="KS46" s="1641"/>
      <c r="KT46" s="1641"/>
      <c r="KU46" s="1641"/>
      <c r="KV46" s="1641"/>
      <c r="KW46" s="1641"/>
      <c r="KX46" s="1641"/>
      <c r="KY46" s="1641"/>
      <c r="KZ46" s="1641"/>
      <c r="LA46" s="1641"/>
      <c r="LB46" s="1642"/>
      <c r="LC46" s="1643" t="s">
        <v>1080</v>
      </c>
      <c r="LD46" s="1644"/>
      <c r="LE46" s="1644"/>
      <c r="LF46" s="1644"/>
      <c r="LG46" s="1644"/>
      <c r="LH46" s="1644"/>
      <c r="LI46" s="1644"/>
      <c r="LJ46" s="1644"/>
      <c r="LK46" s="1644"/>
      <c r="LL46" s="1644"/>
      <c r="LM46" s="1644"/>
      <c r="LN46" s="1644"/>
      <c r="LO46" s="1644"/>
      <c r="LP46" s="1644"/>
      <c r="LQ46" s="1644"/>
      <c r="LR46" s="1645"/>
      <c r="LS46" s="1646" t="s">
        <v>1079</v>
      </c>
      <c r="LT46" s="1647"/>
      <c r="LU46" s="1647"/>
      <c r="LV46" s="1647"/>
      <c r="LW46" s="1647"/>
      <c r="LX46" s="1647"/>
      <c r="LY46" s="1647"/>
      <c r="LZ46" s="1647"/>
      <c r="MA46" s="1647"/>
      <c r="MB46" s="1647"/>
      <c r="MC46" s="1647"/>
      <c r="MD46" s="1647"/>
      <c r="ME46" s="1647"/>
      <c r="MF46" s="1647"/>
      <c r="MG46" s="1647"/>
      <c r="MH46" s="1648"/>
      <c r="MI46" s="1640" t="s">
        <v>1078</v>
      </c>
      <c r="MJ46" s="1641"/>
      <c r="MK46" s="1641"/>
      <c r="ML46" s="1641"/>
      <c r="MM46" s="1641"/>
      <c r="MN46" s="1641"/>
      <c r="MO46" s="1641"/>
      <c r="MP46" s="1641"/>
      <c r="MQ46" s="1641"/>
      <c r="MR46" s="1641"/>
      <c r="MS46" s="1641"/>
      <c r="MT46" s="1641"/>
      <c r="MU46" s="1641"/>
      <c r="MV46" s="1641"/>
      <c r="MW46" s="1641"/>
      <c r="MX46" s="1642"/>
      <c r="MY46" s="1643" t="s">
        <v>1080</v>
      </c>
      <c r="MZ46" s="1644"/>
      <c r="NA46" s="1644"/>
      <c r="NB46" s="1644"/>
      <c r="NC46" s="1644"/>
      <c r="ND46" s="1644"/>
      <c r="NE46" s="1644"/>
      <c r="NF46" s="1644"/>
      <c r="NG46" s="1644"/>
      <c r="NH46" s="1644"/>
      <c r="NI46" s="1644"/>
      <c r="NJ46" s="1644"/>
      <c r="NK46" s="1644"/>
      <c r="NL46" s="1644"/>
      <c r="NM46" s="1644"/>
      <c r="NN46" s="1645"/>
      <c r="NO46" s="1646" t="s">
        <v>1079</v>
      </c>
      <c r="NP46" s="1647"/>
      <c r="NQ46" s="1647"/>
      <c r="NR46" s="1647"/>
      <c r="NS46" s="1647"/>
      <c r="NT46" s="1647"/>
      <c r="NU46" s="1647"/>
      <c r="NV46" s="1647"/>
      <c r="NW46" s="1647"/>
      <c r="NX46" s="1647"/>
      <c r="NY46" s="1647"/>
      <c r="NZ46" s="1647"/>
      <c r="OA46" s="1647"/>
      <c r="OB46" s="1647"/>
      <c r="OC46" s="1647"/>
      <c r="OD46" s="1648"/>
      <c r="OE46" s="1640" t="s">
        <v>1078</v>
      </c>
      <c r="OF46" s="1641"/>
      <c r="OG46" s="1641"/>
      <c r="OH46" s="1641"/>
      <c r="OI46" s="1641"/>
      <c r="OJ46" s="1641"/>
      <c r="OK46" s="1641"/>
      <c r="OL46" s="1641"/>
      <c r="OM46" s="1641"/>
      <c r="ON46" s="1641"/>
      <c r="OO46" s="1641"/>
      <c r="OP46" s="1641"/>
      <c r="OQ46" s="1641"/>
      <c r="OR46" s="1641"/>
      <c r="OS46" s="1641"/>
      <c r="OT46" s="1642"/>
      <c r="OU46" s="1643" t="s">
        <v>1080</v>
      </c>
      <c r="OV46" s="1644"/>
      <c r="OW46" s="1644"/>
      <c r="OX46" s="1644"/>
      <c r="OY46" s="1644"/>
      <c r="OZ46" s="1644"/>
      <c r="PA46" s="1644"/>
      <c r="PB46" s="1644"/>
      <c r="PC46" s="1644"/>
      <c r="PD46" s="1644"/>
      <c r="PE46" s="1644"/>
      <c r="PF46" s="1644"/>
      <c r="PG46" s="1644"/>
      <c r="PH46" s="1644"/>
      <c r="PI46" s="1644"/>
      <c r="PJ46" s="1645"/>
      <c r="PK46" s="1646" t="s">
        <v>1079</v>
      </c>
      <c r="PL46" s="1647"/>
      <c r="PM46" s="1647"/>
      <c r="PN46" s="1647"/>
      <c r="PO46" s="1647"/>
      <c r="PP46" s="1647"/>
      <c r="PQ46" s="1647"/>
      <c r="PR46" s="1647"/>
      <c r="PS46" s="1647"/>
      <c r="PT46" s="1647"/>
      <c r="PU46" s="1647"/>
      <c r="PV46" s="1647"/>
      <c r="PW46" s="1647"/>
      <c r="PX46" s="1647"/>
      <c r="PY46" s="1647"/>
      <c r="PZ46" s="1648"/>
      <c r="QB46" s="33" t="s">
        <v>1072</v>
      </c>
      <c r="QC46" s="744">
        <f>SUM(KM52:KT52)</f>
        <v>5.5555555555555566E-2</v>
      </c>
      <c r="QD46" s="744">
        <f>SUM(KU52:LB52)</f>
        <v>5.5555555555555566E-2</v>
      </c>
    </row>
    <row r="47" spans="1:542" x14ac:dyDescent="0.25">
      <c r="ER47" s="7" t="s">
        <v>1072</v>
      </c>
      <c r="ET47" s="7" t="s">
        <v>1072</v>
      </c>
      <c r="HD47" s="7"/>
      <c r="KG47" s="7" t="s">
        <v>1072</v>
      </c>
      <c r="KH47" s="8"/>
      <c r="KI47" s="8"/>
      <c r="KJ47" s="7"/>
      <c r="KK47" s="7"/>
      <c r="KM47" s="1631" t="s">
        <v>1075</v>
      </c>
      <c r="KN47" s="1632"/>
      <c r="KO47" s="1632"/>
      <c r="KP47" s="1632"/>
      <c r="KQ47" s="1632"/>
      <c r="KR47" s="1632"/>
      <c r="KS47" s="1632"/>
      <c r="KT47" s="1632"/>
      <c r="KU47" s="1632"/>
      <c r="KV47" s="1632"/>
      <c r="KW47" s="1632"/>
      <c r="KX47" s="1632"/>
      <c r="KY47" s="1632"/>
      <c r="KZ47" s="1632"/>
      <c r="LA47" s="1632"/>
      <c r="LB47" s="1632"/>
      <c r="LC47" s="1632"/>
      <c r="LD47" s="1632"/>
      <c r="LE47" s="1632"/>
      <c r="LF47" s="1632"/>
      <c r="LG47" s="1632"/>
      <c r="LH47" s="1632"/>
      <c r="LI47" s="1632"/>
      <c r="LJ47" s="1632"/>
      <c r="LK47" s="1632"/>
      <c r="LL47" s="1632"/>
      <c r="LM47" s="1632"/>
      <c r="LN47" s="1632"/>
      <c r="LO47" s="1632"/>
      <c r="LP47" s="1632"/>
      <c r="LQ47" s="1632"/>
      <c r="LR47" s="1632"/>
      <c r="LS47" s="1632"/>
      <c r="LT47" s="1632"/>
      <c r="LU47" s="1632"/>
      <c r="LV47" s="1632"/>
      <c r="LW47" s="1632"/>
      <c r="LX47" s="1632"/>
      <c r="LY47" s="1632"/>
      <c r="LZ47" s="1632"/>
      <c r="MA47" s="1632"/>
      <c r="MB47" s="1632"/>
      <c r="MC47" s="1632"/>
      <c r="MD47" s="1632"/>
      <c r="ME47" s="1632"/>
      <c r="MF47" s="1632"/>
      <c r="MG47" s="1632"/>
      <c r="MH47" s="1633"/>
      <c r="MI47" s="1634" t="s">
        <v>1076</v>
      </c>
      <c r="MJ47" s="1635"/>
      <c r="MK47" s="1635"/>
      <c r="ML47" s="1635"/>
      <c r="MM47" s="1635"/>
      <c r="MN47" s="1635"/>
      <c r="MO47" s="1635"/>
      <c r="MP47" s="1635"/>
      <c r="MQ47" s="1635"/>
      <c r="MR47" s="1635"/>
      <c r="MS47" s="1635"/>
      <c r="MT47" s="1635"/>
      <c r="MU47" s="1635"/>
      <c r="MV47" s="1635"/>
      <c r="MW47" s="1635"/>
      <c r="MX47" s="1635"/>
      <c r="MY47" s="1635"/>
      <c r="MZ47" s="1635"/>
      <c r="NA47" s="1635"/>
      <c r="NB47" s="1635"/>
      <c r="NC47" s="1635"/>
      <c r="ND47" s="1635"/>
      <c r="NE47" s="1635"/>
      <c r="NF47" s="1635"/>
      <c r="NG47" s="1635"/>
      <c r="NH47" s="1635"/>
      <c r="NI47" s="1635"/>
      <c r="NJ47" s="1635"/>
      <c r="NK47" s="1635"/>
      <c r="NL47" s="1635"/>
      <c r="NM47" s="1635"/>
      <c r="NN47" s="1635"/>
      <c r="NO47" s="1635"/>
      <c r="NP47" s="1635"/>
      <c r="NQ47" s="1635"/>
      <c r="NR47" s="1635"/>
      <c r="NS47" s="1635"/>
      <c r="NT47" s="1635"/>
      <c r="NU47" s="1635"/>
      <c r="NV47" s="1635"/>
      <c r="NW47" s="1635"/>
      <c r="NX47" s="1635"/>
      <c r="NY47" s="1635"/>
      <c r="NZ47" s="1635"/>
      <c r="OA47" s="1635"/>
      <c r="OB47" s="1635"/>
      <c r="OC47" s="1635"/>
      <c r="OD47" s="1636"/>
      <c r="OE47" s="1637" t="s">
        <v>1077</v>
      </c>
      <c r="OF47" s="1638"/>
      <c r="OG47" s="1638"/>
      <c r="OH47" s="1638"/>
      <c r="OI47" s="1638"/>
      <c r="OJ47" s="1638"/>
      <c r="OK47" s="1638"/>
      <c r="OL47" s="1638"/>
      <c r="OM47" s="1638"/>
      <c r="ON47" s="1638"/>
      <c r="OO47" s="1638"/>
      <c r="OP47" s="1638"/>
      <c r="OQ47" s="1638"/>
      <c r="OR47" s="1638"/>
      <c r="OS47" s="1638"/>
      <c r="OT47" s="1638"/>
      <c r="OU47" s="1638"/>
      <c r="OV47" s="1638"/>
      <c r="OW47" s="1638"/>
      <c r="OX47" s="1638"/>
      <c r="OY47" s="1638"/>
      <c r="OZ47" s="1638"/>
      <c r="PA47" s="1638"/>
      <c r="PB47" s="1638"/>
      <c r="PC47" s="1638"/>
      <c r="PD47" s="1638"/>
      <c r="PE47" s="1638"/>
      <c r="PF47" s="1638"/>
      <c r="PG47" s="1638"/>
      <c r="PH47" s="1638"/>
      <c r="PI47" s="1638"/>
      <c r="PJ47" s="1638"/>
      <c r="PK47" s="1638"/>
      <c r="PL47" s="1638"/>
      <c r="PM47" s="1638"/>
      <c r="PN47" s="1638"/>
      <c r="PO47" s="1638"/>
      <c r="PP47" s="1638"/>
      <c r="PQ47" s="1638"/>
      <c r="PR47" s="1638"/>
      <c r="PS47" s="1638"/>
      <c r="PT47" s="1638"/>
      <c r="PU47" s="1638"/>
      <c r="PV47" s="1638"/>
      <c r="PW47" s="1638"/>
      <c r="PX47" s="1638"/>
      <c r="PY47" s="1638"/>
      <c r="PZ47" s="1639"/>
      <c r="QB47" s="33" t="s">
        <v>1072</v>
      </c>
    </row>
    <row r="48" spans="1:542" ht="15.75" thickBot="1" x14ac:dyDescent="0.3">
      <c r="B48" s="7"/>
      <c r="HD48" s="7"/>
      <c r="KG48" s="110"/>
      <c r="KH48" s="110"/>
      <c r="KI48" s="8"/>
      <c r="KJ48" s="110"/>
      <c r="KK48" s="110"/>
      <c r="KM48" s="110" t="s">
        <v>1115</v>
      </c>
      <c r="LC48" t="s">
        <v>1116</v>
      </c>
      <c r="LS48" t="s">
        <v>1117</v>
      </c>
      <c r="MI48" t="s">
        <v>1118</v>
      </c>
      <c r="MY48" t="s">
        <v>1119</v>
      </c>
      <c r="NO48" t="s">
        <v>1120</v>
      </c>
      <c r="OE48" t="s">
        <v>1121</v>
      </c>
      <c r="OU48" t="s">
        <v>1122</v>
      </c>
      <c r="PK48" t="s">
        <v>1123</v>
      </c>
      <c r="QB48" s="33" t="s">
        <v>1072</v>
      </c>
      <c r="SR48" t="s">
        <v>897</v>
      </c>
      <c r="TB48" t="s">
        <v>899</v>
      </c>
      <c r="TL48" t="s">
        <v>901</v>
      </c>
      <c r="TV48" t="s">
        <v>906</v>
      </c>
    </row>
    <row r="49" spans="3:551" s="7" customFormat="1" ht="15.75" thickBot="1" x14ac:dyDescent="0.3">
      <c r="C49"/>
      <c r="D49"/>
      <c r="E49" s="33"/>
      <c r="F49" s="33"/>
      <c r="G49" s="33"/>
      <c r="H49" s="33"/>
      <c r="I49" s="33"/>
      <c r="J49" s="33"/>
      <c r="K49" s="33"/>
      <c r="L49" s="33"/>
      <c r="M49" s="33"/>
      <c r="N49" s="33"/>
      <c r="O49" s="33"/>
      <c r="P49" s="33"/>
      <c r="Q49" s="33"/>
      <c r="R49" s="33"/>
      <c r="S49" s="33"/>
      <c r="T49" s="33"/>
      <c r="U49" s="33"/>
      <c r="ER49" s="7" t="s">
        <v>1072</v>
      </c>
      <c r="ES49" s="8"/>
      <c r="ET49" s="8" t="s">
        <v>1072</v>
      </c>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KG49" s="8" t="s">
        <v>1072</v>
      </c>
      <c r="KH49" s="8"/>
      <c r="KI49" s="8"/>
      <c r="KJ49" s="8"/>
      <c r="KK49" s="8"/>
      <c r="KL49" s="8"/>
      <c r="KM49" s="8" t="s">
        <v>1072</v>
      </c>
      <c r="QB49" s="33" t="s">
        <v>1072</v>
      </c>
      <c r="QR49" s="9" t="s">
        <v>1114</v>
      </c>
      <c r="QS49" s="10"/>
      <c r="QT49" s="10"/>
      <c r="QU49" s="10"/>
      <c r="QV49" s="10"/>
      <c r="QW49" s="10"/>
      <c r="QX49" s="10"/>
      <c r="QY49" s="10"/>
      <c r="QZ49" s="11"/>
      <c r="RC49" s="7" t="s">
        <v>1093</v>
      </c>
      <c r="RM49" s="7" t="s">
        <v>1095</v>
      </c>
      <c r="RW49" s="7" t="s">
        <v>1097</v>
      </c>
      <c r="SG49" s="7" t="s">
        <v>1099</v>
      </c>
    </row>
    <row r="50" spans="3:551" s="7" customFormat="1" ht="24.75" customHeight="1" thickBot="1" x14ac:dyDescent="0.3">
      <c r="D50"/>
      <c r="E50" s="61" t="s">
        <v>12</v>
      </c>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3"/>
      <c r="ES50" s="193"/>
      <c r="ET50" s="199" t="s">
        <v>1073</v>
      </c>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1"/>
      <c r="KH50" s="193"/>
      <c r="KI50" s="193"/>
      <c r="KJ50" s="1446" t="s">
        <v>36</v>
      </c>
      <c r="KK50" s="1442" t="s">
        <v>35</v>
      </c>
      <c r="KL50" s="193"/>
      <c r="KM50" s="199" t="s">
        <v>749</v>
      </c>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1"/>
      <c r="QB50" s="33" t="s">
        <v>1072</v>
      </c>
      <c r="QC50" s="9" t="s">
        <v>1104</v>
      </c>
      <c r="QD50" s="10"/>
      <c r="QE50" s="10"/>
      <c r="QF50" s="10"/>
      <c r="QG50" s="10"/>
      <c r="QH50" s="10"/>
      <c r="QI50" s="10"/>
      <c r="QJ50" s="10"/>
      <c r="QK50" s="10"/>
      <c r="QL50" s="10"/>
      <c r="QM50" s="10"/>
      <c r="QN50" s="10"/>
      <c r="QO50" s="10"/>
      <c r="QP50" s="10"/>
      <c r="QQ50" s="10"/>
      <c r="QR50" s="1260" t="s">
        <v>1115</v>
      </c>
      <c r="QS50" s="274" t="s">
        <v>1116</v>
      </c>
      <c r="QT50" s="274" t="s">
        <v>1117</v>
      </c>
      <c r="QU50" s="274" t="s">
        <v>1118</v>
      </c>
      <c r="QV50" s="274" t="s">
        <v>1119</v>
      </c>
      <c r="QW50" s="274" t="s">
        <v>1120</v>
      </c>
      <c r="QX50" s="274" t="s">
        <v>1121</v>
      </c>
      <c r="QY50" s="274" t="s">
        <v>1122</v>
      </c>
      <c r="QZ50" s="1261" t="s">
        <v>1123</v>
      </c>
      <c r="RA50" s="10"/>
      <c r="RB50" s="10" t="s">
        <v>1124</v>
      </c>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1"/>
      <c r="SQ50" s="993" t="s">
        <v>1103</v>
      </c>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1"/>
    </row>
    <row r="51" spans="3:551" s="7" customFormat="1" ht="15.75" thickBot="1" x14ac:dyDescent="0.3">
      <c r="C51" s="32"/>
      <c r="D51" s="115" t="s">
        <v>45</v>
      </c>
      <c r="E51" s="1396" t="s">
        <v>928</v>
      </c>
      <c r="F51" s="1396" t="s">
        <v>929</v>
      </c>
      <c r="G51" s="1396" t="s">
        <v>930</v>
      </c>
      <c r="H51" s="1396" t="s">
        <v>931</v>
      </c>
      <c r="I51" s="1396" t="s">
        <v>932</v>
      </c>
      <c r="J51" s="1396" t="s">
        <v>933</v>
      </c>
      <c r="K51" s="1396" t="s">
        <v>934</v>
      </c>
      <c r="L51" s="1396" t="s">
        <v>935</v>
      </c>
      <c r="M51" s="1396" t="s">
        <v>936</v>
      </c>
      <c r="N51" s="1396" t="s">
        <v>937</v>
      </c>
      <c r="O51" s="1396" t="s">
        <v>938</v>
      </c>
      <c r="P51" s="1396" t="s">
        <v>939</v>
      </c>
      <c r="Q51" s="1396" t="s">
        <v>940</v>
      </c>
      <c r="R51" s="1396" t="s">
        <v>941</v>
      </c>
      <c r="S51" s="1396" t="s">
        <v>942</v>
      </c>
      <c r="T51" s="1396" t="s">
        <v>943</v>
      </c>
      <c r="U51" s="1396" t="s">
        <v>944</v>
      </c>
      <c r="V51" s="1396" t="s">
        <v>945</v>
      </c>
      <c r="W51" s="1396" t="s">
        <v>946</v>
      </c>
      <c r="X51" s="1396" t="s">
        <v>947</v>
      </c>
      <c r="Y51" s="1396" t="s">
        <v>948</v>
      </c>
      <c r="Z51" s="1396" t="s">
        <v>949</v>
      </c>
      <c r="AA51" s="1396" t="s">
        <v>950</v>
      </c>
      <c r="AB51" s="1396" t="s">
        <v>951</v>
      </c>
      <c r="AC51" s="1396" t="s">
        <v>952</v>
      </c>
      <c r="AD51" s="1396" t="s">
        <v>953</v>
      </c>
      <c r="AE51" s="1396" t="s">
        <v>954</v>
      </c>
      <c r="AF51" s="1396" t="s">
        <v>955</v>
      </c>
      <c r="AG51" s="1396" t="s">
        <v>956</v>
      </c>
      <c r="AH51" s="1396" t="s">
        <v>957</v>
      </c>
      <c r="AI51" s="1396" t="s">
        <v>958</v>
      </c>
      <c r="AJ51" s="1396" t="s">
        <v>959</v>
      </c>
      <c r="AK51" s="1396" t="s">
        <v>960</v>
      </c>
      <c r="AL51" s="1396" t="s">
        <v>961</v>
      </c>
      <c r="AM51" s="1396" t="s">
        <v>962</v>
      </c>
      <c r="AN51" s="1396" t="s">
        <v>963</v>
      </c>
      <c r="AO51" s="1396" t="s">
        <v>964</v>
      </c>
      <c r="AP51" s="1396" t="s">
        <v>965</v>
      </c>
      <c r="AQ51" s="1396" t="s">
        <v>966</v>
      </c>
      <c r="AR51" s="1396" t="s">
        <v>967</v>
      </c>
      <c r="AS51" s="1396" t="s">
        <v>968</v>
      </c>
      <c r="AT51" s="1396" t="s">
        <v>969</v>
      </c>
      <c r="AU51" s="1396" t="s">
        <v>970</v>
      </c>
      <c r="AV51" s="1396" t="s">
        <v>971</v>
      </c>
      <c r="AW51" s="1396" t="s">
        <v>972</v>
      </c>
      <c r="AX51" s="1396" t="s">
        <v>973</v>
      </c>
      <c r="AY51" s="1396" t="s">
        <v>974</v>
      </c>
      <c r="AZ51" s="1396" t="s">
        <v>975</v>
      </c>
      <c r="BA51" s="1396" t="s">
        <v>976</v>
      </c>
      <c r="BB51" s="1396" t="s">
        <v>977</v>
      </c>
      <c r="BC51" s="1396" t="s">
        <v>978</v>
      </c>
      <c r="BD51" s="1396" t="s">
        <v>979</v>
      </c>
      <c r="BE51" s="1396" t="s">
        <v>980</v>
      </c>
      <c r="BF51" s="1396" t="s">
        <v>981</v>
      </c>
      <c r="BG51" s="1396" t="s">
        <v>982</v>
      </c>
      <c r="BH51" s="1396" t="s">
        <v>983</v>
      </c>
      <c r="BI51" s="1396" t="s">
        <v>984</v>
      </c>
      <c r="BJ51" s="1396" t="s">
        <v>985</v>
      </c>
      <c r="BK51" s="1396" t="s">
        <v>986</v>
      </c>
      <c r="BL51" s="1396" t="s">
        <v>987</v>
      </c>
      <c r="BM51" s="1396" t="s">
        <v>988</v>
      </c>
      <c r="BN51" s="1396" t="s">
        <v>989</v>
      </c>
      <c r="BO51" s="1396" t="s">
        <v>990</v>
      </c>
      <c r="BP51" s="1396" t="s">
        <v>991</v>
      </c>
      <c r="BQ51" s="1396" t="s">
        <v>992</v>
      </c>
      <c r="BR51" s="1396" t="s">
        <v>993</v>
      </c>
      <c r="BS51" s="1396" t="s">
        <v>994</v>
      </c>
      <c r="BT51" s="1396" t="s">
        <v>995</v>
      </c>
      <c r="BU51" s="1396" t="s">
        <v>996</v>
      </c>
      <c r="BV51" s="1396" t="s">
        <v>997</v>
      </c>
      <c r="BW51" s="1396" t="s">
        <v>998</v>
      </c>
      <c r="BX51" s="1396" t="s">
        <v>999</v>
      </c>
      <c r="BY51" s="1396" t="s">
        <v>1000</v>
      </c>
      <c r="BZ51" s="1396" t="s">
        <v>1001</v>
      </c>
      <c r="CA51" s="1396" t="s">
        <v>1002</v>
      </c>
      <c r="CB51" s="1396" t="s">
        <v>1003</v>
      </c>
      <c r="CC51" s="1396" t="s">
        <v>1004</v>
      </c>
      <c r="CD51" s="1396" t="s">
        <v>1005</v>
      </c>
      <c r="CE51" s="1396" t="s">
        <v>1006</v>
      </c>
      <c r="CF51" s="1396" t="s">
        <v>1007</v>
      </c>
      <c r="CG51" s="1396" t="s">
        <v>1008</v>
      </c>
      <c r="CH51" s="1396" t="s">
        <v>1009</v>
      </c>
      <c r="CI51" s="1396" t="s">
        <v>1010</v>
      </c>
      <c r="CJ51" s="1396" t="s">
        <v>1011</v>
      </c>
      <c r="CK51" s="1396" t="s">
        <v>1012</v>
      </c>
      <c r="CL51" s="1396" t="s">
        <v>1013</v>
      </c>
      <c r="CM51" s="1396" t="s">
        <v>1014</v>
      </c>
      <c r="CN51" s="1396" t="s">
        <v>1015</v>
      </c>
      <c r="CO51" s="1396" t="s">
        <v>1016</v>
      </c>
      <c r="CP51" s="1396" t="s">
        <v>1017</v>
      </c>
      <c r="CQ51" s="1396" t="s">
        <v>1018</v>
      </c>
      <c r="CR51" s="1396" t="s">
        <v>1019</v>
      </c>
      <c r="CS51" s="1396" t="s">
        <v>1020</v>
      </c>
      <c r="CT51" s="1396" t="s">
        <v>1021</v>
      </c>
      <c r="CU51" s="1396" t="s">
        <v>1022</v>
      </c>
      <c r="CV51" s="1396" t="s">
        <v>1023</v>
      </c>
      <c r="CW51" s="1396" t="s">
        <v>1024</v>
      </c>
      <c r="CX51" s="1396" t="s">
        <v>1025</v>
      </c>
      <c r="CY51" s="1396" t="s">
        <v>1026</v>
      </c>
      <c r="CZ51" s="1396" t="s">
        <v>1027</v>
      </c>
      <c r="DA51" s="1396" t="s">
        <v>1028</v>
      </c>
      <c r="DB51" s="1396" t="s">
        <v>1029</v>
      </c>
      <c r="DC51" s="1396" t="s">
        <v>1030</v>
      </c>
      <c r="DD51" s="1396" t="s">
        <v>1031</v>
      </c>
      <c r="DE51" s="1396" t="s">
        <v>1032</v>
      </c>
      <c r="DF51" s="1396" t="s">
        <v>1033</v>
      </c>
      <c r="DG51" s="1396" t="s">
        <v>1034</v>
      </c>
      <c r="DH51" s="1396" t="s">
        <v>1035</v>
      </c>
      <c r="DI51" s="1396" t="s">
        <v>1036</v>
      </c>
      <c r="DJ51" s="1396" t="s">
        <v>1037</v>
      </c>
      <c r="DK51" s="1396" t="s">
        <v>1038</v>
      </c>
      <c r="DL51" s="1396" t="s">
        <v>1039</v>
      </c>
      <c r="DM51" s="1396" t="s">
        <v>1040</v>
      </c>
      <c r="DN51" s="1396" t="s">
        <v>1041</v>
      </c>
      <c r="DO51" s="1396" t="s">
        <v>1042</v>
      </c>
      <c r="DP51" s="1396" t="s">
        <v>1043</v>
      </c>
      <c r="DQ51" s="1396" t="s">
        <v>1044</v>
      </c>
      <c r="DR51" s="1396" t="s">
        <v>1045</v>
      </c>
      <c r="DS51" s="1396" t="s">
        <v>1046</v>
      </c>
      <c r="DT51" s="1396" t="s">
        <v>1047</v>
      </c>
      <c r="DU51" s="1396" t="s">
        <v>1048</v>
      </c>
      <c r="DV51" s="1396" t="s">
        <v>1049</v>
      </c>
      <c r="DW51" s="1396" t="s">
        <v>1050</v>
      </c>
      <c r="DX51" s="1396" t="s">
        <v>1051</v>
      </c>
      <c r="DY51" s="1396" t="s">
        <v>1052</v>
      </c>
      <c r="DZ51" s="1396" t="s">
        <v>1053</v>
      </c>
      <c r="EA51" s="1396" t="s">
        <v>1054</v>
      </c>
      <c r="EB51" s="1396" t="s">
        <v>1055</v>
      </c>
      <c r="EC51" s="1396" t="s">
        <v>1056</v>
      </c>
      <c r="ED51" s="1396" t="s">
        <v>1057</v>
      </c>
      <c r="EE51" s="1396" t="s">
        <v>1058</v>
      </c>
      <c r="EF51" s="1396" t="s">
        <v>1059</v>
      </c>
      <c r="EG51" s="1396" t="s">
        <v>1060</v>
      </c>
      <c r="EH51" s="1396" t="s">
        <v>1061</v>
      </c>
      <c r="EI51" s="1396" t="s">
        <v>1062</v>
      </c>
      <c r="EJ51" s="1396" t="s">
        <v>1063</v>
      </c>
      <c r="EK51" s="1396" t="s">
        <v>1064</v>
      </c>
      <c r="EL51" s="1396" t="s">
        <v>1065</v>
      </c>
      <c r="EM51" s="1396" t="s">
        <v>1066</v>
      </c>
      <c r="EN51" s="1396" t="s">
        <v>1067</v>
      </c>
      <c r="EO51" s="1396" t="s">
        <v>1068</v>
      </c>
      <c r="EP51" s="1396" t="s">
        <v>1069</v>
      </c>
      <c r="EQ51" s="1396" t="s">
        <v>1070</v>
      </c>
      <c r="ER51" s="1404" t="s">
        <v>1071</v>
      </c>
      <c r="ES51" s="1387"/>
      <c r="ET51" s="450" t="s">
        <v>928</v>
      </c>
      <c r="EU51" s="1396" t="s">
        <v>929</v>
      </c>
      <c r="EV51" s="1396" t="s">
        <v>930</v>
      </c>
      <c r="EW51" s="1396" t="s">
        <v>931</v>
      </c>
      <c r="EX51" s="1396" t="s">
        <v>932</v>
      </c>
      <c r="EY51" s="1396" t="s">
        <v>933</v>
      </c>
      <c r="EZ51" s="1396" t="s">
        <v>934</v>
      </c>
      <c r="FA51" s="1396" t="s">
        <v>935</v>
      </c>
      <c r="FB51" s="1396" t="s">
        <v>936</v>
      </c>
      <c r="FC51" s="1396" t="s">
        <v>937</v>
      </c>
      <c r="FD51" s="1396" t="s">
        <v>938</v>
      </c>
      <c r="FE51" s="1396" t="s">
        <v>939</v>
      </c>
      <c r="FF51" s="1396" t="s">
        <v>940</v>
      </c>
      <c r="FG51" s="1396" t="s">
        <v>941</v>
      </c>
      <c r="FH51" s="1396" t="s">
        <v>942</v>
      </c>
      <c r="FI51" s="1396" t="s">
        <v>943</v>
      </c>
      <c r="FJ51" s="1396" t="s">
        <v>944</v>
      </c>
      <c r="FK51" s="1396" t="s">
        <v>945</v>
      </c>
      <c r="FL51" s="1396" t="s">
        <v>946</v>
      </c>
      <c r="FM51" s="1396" t="s">
        <v>947</v>
      </c>
      <c r="FN51" s="1396" t="s">
        <v>948</v>
      </c>
      <c r="FO51" s="1396" t="s">
        <v>949</v>
      </c>
      <c r="FP51" s="1396" t="s">
        <v>950</v>
      </c>
      <c r="FQ51" s="1396" t="s">
        <v>951</v>
      </c>
      <c r="FR51" s="1396" t="s">
        <v>952</v>
      </c>
      <c r="FS51" s="1396" t="s">
        <v>953</v>
      </c>
      <c r="FT51" s="1396" t="s">
        <v>954</v>
      </c>
      <c r="FU51" s="1396" t="s">
        <v>955</v>
      </c>
      <c r="FV51" s="1396" t="s">
        <v>956</v>
      </c>
      <c r="FW51" s="1396" t="s">
        <v>957</v>
      </c>
      <c r="FX51" s="1396" t="s">
        <v>958</v>
      </c>
      <c r="FY51" s="1396" t="s">
        <v>959</v>
      </c>
      <c r="FZ51" s="1396" t="s">
        <v>960</v>
      </c>
      <c r="GA51" s="1396" t="s">
        <v>961</v>
      </c>
      <c r="GB51" s="1396" t="s">
        <v>962</v>
      </c>
      <c r="GC51" s="1396" t="s">
        <v>963</v>
      </c>
      <c r="GD51" s="1396" t="s">
        <v>964</v>
      </c>
      <c r="GE51" s="1396" t="s">
        <v>965</v>
      </c>
      <c r="GF51" s="1396" t="s">
        <v>966</v>
      </c>
      <c r="GG51" s="1396" t="s">
        <v>967</v>
      </c>
      <c r="GH51" s="1396" t="s">
        <v>968</v>
      </c>
      <c r="GI51" s="1396" t="s">
        <v>969</v>
      </c>
      <c r="GJ51" s="1396" t="s">
        <v>970</v>
      </c>
      <c r="GK51" s="1396" t="s">
        <v>971</v>
      </c>
      <c r="GL51" s="1396" t="s">
        <v>972</v>
      </c>
      <c r="GM51" s="1396" t="s">
        <v>973</v>
      </c>
      <c r="GN51" s="1396" t="s">
        <v>974</v>
      </c>
      <c r="GO51" s="1396" t="s">
        <v>975</v>
      </c>
      <c r="GP51" s="1396" t="s">
        <v>976</v>
      </c>
      <c r="GQ51" s="1396" t="s">
        <v>977</v>
      </c>
      <c r="GR51" s="1396" t="s">
        <v>978</v>
      </c>
      <c r="GS51" s="1396" t="s">
        <v>979</v>
      </c>
      <c r="GT51" s="1396" t="s">
        <v>980</v>
      </c>
      <c r="GU51" s="1396" t="s">
        <v>981</v>
      </c>
      <c r="GV51" s="1396" t="s">
        <v>982</v>
      </c>
      <c r="GW51" s="1396" t="s">
        <v>983</v>
      </c>
      <c r="GX51" s="1396" t="s">
        <v>984</v>
      </c>
      <c r="GY51" s="1396" t="s">
        <v>985</v>
      </c>
      <c r="GZ51" s="1396" t="s">
        <v>986</v>
      </c>
      <c r="HA51" s="1396" t="s">
        <v>987</v>
      </c>
      <c r="HB51" s="1396" t="s">
        <v>988</v>
      </c>
      <c r="HC51" s="1396" t="s">
        <v>989</v>
      </c>
      <c r="HD51" s="1396" t="s">
        <v>990</v>
      </c>
      <c r="HE51" s="1396" t="s">
        <v>991</v>
      </c>
      <c r="HF51" s="1396" t="s">
        <v>992</v>
      </c>
      <c r="HG51" s="1396" t="s">
        <v>993</v>
      </c>
      <c r="HH51" s="1396" t="s">
        <v>994</v>
      </c>
      <c r="HI51" s="1396" t="s">
        <v>995</v>
      </c>
      <c r="HJ51" s="1396" t="s">
        <v>996</v>
      </c>
      <c r="HK51" s="1396" t="s">
        <v>997</v>
      </c>
      <c r="HL51" s="1396" t="s">
        <v>998</v>
      </c>
      <c r="HM51" s="1396" t="s">
        <v>999</v>
      </c>
      <c r="HN51" s="1396" t="s">
        <v>1000</v>
      </c>
      <c r="HO51" s="1396" t="s">
        <v>1001</v>
      </c>
      <c r="HP51" s="1396" t="s">
        <v>1002</v>
      </c>
      <c r="HQ51" s="1396" t="s">
        <v>1003</v>
      </c>
      <c r="HR51" s="1396" t="s">
        <v>1004</v>
      </c>
      <c r="HS51" s="1396" t="s">
        <v>1005</v>
      </c>
      <c r="HT51" s="1396" t="s">
        <v>1006</v>
      </c>
      <c r="HU51" s="1396" t="s">
        <v>1007</v>
      </c>
      <c r="HV51" s="1396" t="s">
        <v>1008</v>
      </c>
      <c r="HW51" s="1396" t="s">
        <v>1009</v>
      </c>
      <c r="HX51" s="1396" t="s">
        <v>1010</v>
      </c>
      <c r="HY51" s="1396" t="s">
        <v>1011</v>
      </c>
      <c r="HZ51" s="1396" t="s">
        <v>1012</v>
      </c>
      <c r="IA51" s="1396" t="s">
        <v>1013</v>
      </c>
      <c r="IB51" s="1396" t="s">
        <v>1014</v>
      </c>
      <c r="IC51" s="1396" t="s">
        <v>1015</v>
      </c>
      <c r="ID51" s="1396" t="s">
        <v>1016</v>
      </c>
      <c r="IE51" s="1396" t="s">
        <v>1017</v>
      </c>
      <c r="IF51" s="1396" t="s">
        <v>1018</v>
      </c>
      <c r="IG51" s="1396" t="s">
        <v>1019</v>
      </c>
      <c r="IH51" s="1396" t="s">
        <v>1020</v>
      </c>
      <c r="II51" s="1396" t="s">
        <v>1021</v>
      </c>
      <c r="IJ51" s="1396" t="s">
        <v>1022</v>
      </c>
      <c r="IK51" s="1396" t="s">
        <v>1023</v>
      </c>
      <c r="IL51" s="1396" t="s">
        <v>1024</v>
      </c>
      <c r="IM51" s="1396" t="s">
        <v>1025</v>
      </c>
      <c r="IN51" s="1396" t="s">
        <v>1026</v>
      </c>
      <c r="IO51" s="1396" t="s">
        <v>1027</v>
      </c>
      <c r="IP51" s="1396" t="s">
        <v>1028</v>
      </c>
      <c r="IQ51" s="1396" t="s">
        <v>1029</v>
      </c>
      <c r="IR51" s="1396" t="s">
        <v>1030</v>
      </c>
      <c r="IS51" s="1396" t="s">
        <v>1031</v>
      </c>
      <c r="IT51" s="1396" t="s">
        <v>1032</v>
      </c>
      <c r="IU51" s="1396" t="s">
        <v>1033</v>
      </c>
      <c r="IV51" s="1396" t="s">
        <v>1034</v>
      </c>
      <c r="IW51" s="1396" t="s">
        <v>1035</v>
      </c>
      <c r="IX51" s="1396" t="s">
        <v>1036</v>
      </c>
      <c r="IY51" s="1396" t="s">
        <v>1037</v>
      </c>
      <c r="IZ51" s="1396" t="s">
        <v>1038</v>
      </c>
      <c r="JA51" s="1396" t="s">
        <v>1039</v>
      </c>
      <c r="JB51" s="1396" t="s">
        <v>1040</v>
      </c>
      <c r="JC51" s="1396" t="s">
        <v>1041</v>
      </c>
      <c r="JD51" s="1396" t="s">
        <v>1042</v>
      </c>
      <c r="JE51" s="1396" t="s">
        <v>1043</v>
      </c>
      <c r="JF51" s="1396" t="s">
        <v>1044</v>
      </c>
      <c r="JG51" s="1396" t="s">
        <v>1045</v>
      </c>
      <c r="JH51" s="1396" t="s">
        <v>1046</v>
      </c>
      <c r="JI51" s="1396" t="s">
        <v>1047</v>
      </c>
      <c r="JJ51" s="1396" t="s">
        <v>1048</v>
      </c>
      <c r="JK51" s="1396" t="s">
        <v>1049</v>
      </c>
      <c r="JL51" s="1396" t="s">
        <v>1050</v>
      </c>
      <c r="JM51" s="1396" t="s">
        <v>1051</v>
      </c>
      <c r="JN51" s="1396" t="s">
        <v>1052</v>
      </c>
      <c r="JO51" s="1396" t="s">
        <v>1053</v>
      </c>
      <c r="JP51" s="1396" t="s">
        <v>1054</v>
      </c>
      <c r="JQ51" s="1396" t="s">
        <v>1055</v>
      </c>
      <c r="JR51" s="1396" t="s">
        <v>1056</v>
      </c>
      <c r="JS51" s="1396" t="s">
        <v>1057</v>
      </c>
      <c r="JT51" s="1396" t="s">
        <v>1058</v>
      </c>
      <c r="JU51" s="1396" t="s">
        <v>1059</v>
      </c>
      <c r="JV51" s="1396" t="s">
        <v>1060</v>
      </c>
      <c r="JW51" s="1396" t="s">
        <v>1061</v>
      </c>
      <c r="JX51" s="1396" t="s">
        <v>1062</v>
      </c>
      <c r="JY51" s="1396" t="s">
        <v>1063</v>
      </c>
      <c r="JZ51" s="1396" t="s">
        <v>1064</v>
      </c>
      <c r="KA51" s="1396" t="s">
        <v>1065</v>
      </c>
      <c r="KB51" s="1396" t="s">
        <v>1066</v>
      </c>
      <c r="KC51" s="1396" t="s">
        <v>1067</v>
      </c>
      <c r="KD51" s="1396" t="s">
        <v>1068</v>
      </c>
      <c r="KE51" s="1396" t="s">
        <v>1069</v>
      </c>
      <c r="KF51" s="1396" t="s">
        <v>1070</v>
      </c>
      <c r="KG51" s="1397" t="s">
        <v>1071</v>
      </c>
      <c r="KH51" s="1405" t="s">
        <v>338</v>
      </c>
      <c r="KI51" s="1075"/>
      <c r="KJ51" s="5">
        <v>0</v>
      </c>
      <c r="KK51" s="6"/>
      <c r="KL51" s="1075"/>
      <c r="KM51" s="450" t="s">
        <v>928</v>
      </c>
      <c r="KN51" s="1396" t="s">
        <v>929</v>
      </c>
      <c r="KO51" s="1396" t="s">
        <v>930</v>
      </c>
      <c r="KP51" s="1396" t="s">
        <v>931</v>
      </c>
      <c r="KQ51" s="1396" t="s">
        <v>932</v>
      </c>
      <c r="KR51" s="1396" t="s">
        <v>933</v>
      </c>
      <c r="KS51" s="1396" t="s">
        <v>934</v>
      </c>
      <c r="KT51" s="1396" t="s">
        <v>935</v>
      </c>
      <c r="KU51" s="1396" t="s">
        <v>936</v>
      </c>
      <c r="KV51" s="1396" t="s">
        <v>937</v>
      </c>
      <c r="KW51" s="1396" t="s">
        <v>938</v>
      </c>
      <c r="KX51" s="1396" t="s">
        <v>939</v>
      </c>
      <c r="KY51" s="1396" t="s">
        <v>940</v>
      </c>
      <c r="KZ51" s="1396" t="s">
        <v>941</v>
      </c>
      <c r="LA51" s="1396" t="s">
        <v>942</v>
      </c>
      <c r="LB51" s="1396" t="s">
        <v>943</v>
      </c>
      <c r="LC51" s="1396" t="s">
        <v>944</v>
      </c>
      <c r="LD51" s="1396" t="s">
        <v>945</v>
      </c>
      <c r="LE51" s="1396" t="s">
        <v>946</v>
      </c>
      <c r="LF51" s="1396" t="s">
        <v>947</v>
      </c>
      <c r="LG51" s="1396" t="s">
        <v>948</v>
      </c>
      <c r="LH51" s="1396" t="s">
        <v>949</v>
      </c>
      <c r="LI51" s="1396" t="s">
        <v>950</v>
      </c>
      <c r="LJ51" s="1396" t="s">
        <v>951</v>
      </c>
      <c r="LK51" s="1396" t="s">
        <v>952</v>
      </c>
      <c r="LL51" s="1396" t="s">
        <v>953</v>
      </c>
      <c r="LM51" s="1396" t="s">
        <v>954</v>
      </c>
      <c r="LN51" s="1396" t="s">
        <v>955</v>
      </c>
      <c r="LO51" s="1396" t="s">
        <v>956</v>
      </c>
      <c r="LP51" s="1396" t="s">
        <v>957</v>
      </c>
      <c r="LQ51" s="1396" t="s">
        <v>958</v>
      </c>
      <c r="LR51" s="1396" t="s">
        <v>959</v>
      </c>
      <c r="LS51" s="1396" t="s">
        <v>960</v>
      </c>
      <c r="LT51" s="1396" t="s">
        <v>961</v>
      </c>
      <c r="LU51" s="1396" t="s">
        <v>962</v>
      </c>
      <c r="LV51" s="1396" t="s">
        <v>963</v>
      </c>
      <c r="LW51" s="1396" t="s">
        <v>964</v>
      </c>
      <c r="LX51" s="1396" t="s">
        <v>965</v>
      </c>
      <c r="LY51" s="1396" t="s">
        <v>966</v>
      </c>
      <c r="LZ51" s="1396" t="s">
        <v>967</v>
      </c>
      <c r="MA51" s="1396" t="s">
        <v>968</v>
      </c>
      <c r="MB51" s="1396" t="s">
        <v>969</v>
      </c>
      <c r="MC51" s="1396" t="s">
        <v>970</v>
      </c>
      <c r="MD51" s="1396" t="s">
        <v>971</v>
      </c>
      <c r="ME51" s="1396" t="s">
        <v>972</v>
      </c>
      <c r="MF51" s="1396" t="s">
        <v>973</v>
      </c>
      <c r="MG51" s="1396" t="s">
        <v>974</v>
      </c>
      <c r="MH51" s="1396" t="s">
        <v>975</v>
      </c>
      <c r="MI51" s="1396" t="s">
        <v>976</v>
      </c>
      <c r="MJ51" s="1396" t="s">
        <v>977</v>
      </c>
      <c r="MK51" s="1396" t="s">
        <v>978</v>
      </c>
      <c r="ML51" s="1396" t="s">
        <v>979</v>
      </c>
      <c r="MM51" s="1396" t="s">
        <v>980</v>
      </c>
      <c r="MN51" s="1396" t="s">
        <v>981</v>
      </c>
      <c r="MO51" s="1396" t="s">
        <v>982</v>
      </c>
      <c r="MP51" s="1396" t="s">
        <v>983</v>
      </c>
      <c r="MQ51" s="1396" t="s">
        <v>984</v>
      </c>
      <c r="MR51" s="1396" t="s">
        <v>985</v>
      </c>
      <c r="MS51" s="1396" t="s">
        <v>986</v>
      </c>
      <c r="MT51" s="1396" t="s">
        <v>987</v>
      </c>
      <c r="MU51" s="1396" t="s">
        <v>988</v>
      </c>
      <c r="MV51" s="1396" t="s">
        <v>989</v>
      </c>
      <c r="MW51" s="1396" t="s">
        <v>990</v>
      </c>
      <c r="MX51" s="1396" t="s">
        <v>991</v>
      </c>
      <c r="MY51" s="1396" t="s">
        <v>992</v>
      </c>
      <c r="MZ51" s="1396" t="s">
        <v>993</v>
      </c>
      <c r="NA51" s="1396" t="s">
        <v>994</v>
      </c>
      <c r="NB51" s="1396" t="s">
        <v>995</v>
      </c>
      <c r="NC51" s="1396" t="s">
        <v>996</v>
      </c>
      <c r="ND51" s="1396" t="s">
        <v>997</v>
      </c>
      <c r="NE51" s="1396" t="s">
        <v>998</v>
      </c>
      <c r="NF51" s="1396" t="s">
        <v>999</v>
      </c>
      <c r="NG51" s="1396" t="s">
        <v>1000</v>
      </c>
      <c r="NH51" s="1396" t="s">
        <v>1001</v>
      </c>
      <c r="NI51" s="1396" t="s">
        <v>1002</v>
      </c>
      <c r="NJ51" s="1396" t="s">
        <v>1003</v>
      </c>
      <c r="NK51" s="1396" t="s">
        <v>1004</v>
      </c>
      <c r="NL51" s="1396" t="s">
        <v>1005</v>
      </c>
      <c r="NM51" s="1396" t="s">
        <v>1006</v>
      </c>
      <c r="NN51" s="1396" t="s">
        <v>1007</v>
      </c>
      <c r="NO51" s="1396" t="s">
        <v>1008</v>
      </c>
      <c r="NP51" s="1396" t="s">
        <v>1009</v>
      </c>
      <c r="NQ51" s="1396" t="s">
        <v>1010</v>
      </c>
      <c r="NR51" s="1396" t="s">
        <v>1011</v>
      </c>
      <c r="NS51" s="1396" t="s">
        <v>1012</v>
      </c>
      <c r="NT51" s="1396" t="s">
        <v>1013</v>
      </c>
      <c r="NU51" s="1396" t="s">
        <v>1014</v>
      </c>
      <c r="NV51" s="1396" t="s">
        <v>1015</v>
      </c>
      <c r="NW51" s="1396" t="s">
        <v>1016</v>
      </c>
      <c r="NX51" s="1396" t="s">
        <v>1017</v>
      </c>
      <c r="NY51" s="1396" t="s">
        <v>1018</v>
      </c>
      <c r="NZ51" s="1396" t="s">
        <v>1019</v>
      </c>
      <c r="OA51" s="1396" t="s">
        <v>1020</v>
      </c>
      <c r="OB51" s="1396" t="s">
        <v>1021</v>
      </c>
      <c r="OC51" s="1396" t="s">
        <v>1022</v>
      </c>
      <c r="OD51" s="1396" t="s">
        <v>1023</v>
      </c>
      <c r="OE51" s="1396" t="s">
        <v>1024</v>
      </c>
      <c r="OF51" s="1396" t="s">
        <v>1025</v>
      </c>
      <c r="OG51" s="1396" t="s">
        <v>1026</v>
      </c>
      <c r="OH51" s="1396" t="s">
        <v>1027</v>
      </c>
      <c r="OI51" s="1396" t="s">
        <v>1028</v>
      </c>
      <c r="OJ51" s="1396" t="s">
        <v>1029</v>
      </c>
      <c r="OK51" s="1396" t="s">
        <v>1030</v>
      </c>
      <c r="OL51" s="1396" t="s">
        <v>1031</v>
      </c>
      <c r="OM51" s="1396" t="s">
        <v>1032</v>
      </c>
      <c r="ON51" s="1396" t="s">
        <v>1033</v>
      </c>
      <c r="OO51" s="1396" t="s">
        <v>1034</v>
      </c>
      <c r="OP51" s="1396" t="s">
        <v>1035</v>
      </c>
      <c r="OQ51" s="1396" t="s">
        <v>1036</v>
      </c>
      <c r="OR51" s="1396" t="s">
        <v>1037</v>
      </c>
      <c r="OS51" s="1396" t="s">
        <v>1038</v>
      </c>
      <c r="OT51" s="1396" t="s">
        <v>1039</v>
      </c>
      <c r="OU51" s="1396" t="s">
        <v>1040</v>
      </c>
      <c r="OV51" s="1396" t="s">
        <v>1041</v>
      </c>
      <c r="OW51" s="1396" t="s">
        <v>1042</v>
      </c>
      <c r="OX51" s="1396" t="s">
        <v>1043</v>
      </c>
      <c r="OY51" s="1396" t="s">
        <v>1044</v>
      </c>
      <c r="OZ51" s="1396" t="s">
        <v>1045</v>
      </c>
      <c r="PA51" s="1396" t="s">
        <v>1046</v>
      </c>
      <c r="PB51" s="1396" t="s">
        <v>1047</v>
      </c>
      <c r="PC51" s="1396" t="s">
        <v>1048</v>
      </c>
      <c r="PD51" s="1396" t="s">
        <v>1049</v>
      </c>
      <c r="PE51" s="1396" t="s">
        <v>1050</v>
      </c>
      <c r="PF51" s="1396" t="s">
        <v>1051</v>
      </c>
      <c r="PG51" s="1396" t="s">
        <v>1052</v>
      </c>
      <c r="PH51" s="1396" t="s">
        <v>1053</v>
      </c>
      <c r="PI51" s="1396" t="s">
        <v>1054</v>
      </c>
      <c r="PJ51" s="1396" t="s">
        <v>1055</v>
      </c>
      <c r="PK51" s="1396" t="s">
        <v>1056</v>
      </c>
      <c r="PL51" s="1396" t="s">
        <v>1057</v>
      </c>
      <c r="PM51" s="1396" t="s">
        <v>1058</v>
      </c>
      <c r="PN51" s="1396" t="s">
        <v>1059</v>
      </c>
      <c r="PO51" s="1396" t="s">
        <v>1060</v>
      </c>
      <c r="PP51" s="1396" t="s">
        <v>1061</v>
      </c>
      <c r="PQ51" s="1396" t="s">
        <v>1062</v>
      </c>
      <c r="PR51" s="1396" t="s">
        <v>1063</v>
      </c>
      <c r="PS51" s="1396" t="s">
        <v>1064</v>
      </c>
      <c r="PT51" s="1396" t="s">
        <v>1065</v>
      </c>
      <c r="PU51" s="1396" t="s">
        <v>1066</v>
      </c>
      <c r="PV51" s="1396" t="s">
        <v>1067</v>
      </c>
      <c r="PW51" s="1396" t="s">
        <v>1068</v>
      </c>
      <c r="PX51" s="1396" t="s">
        <v>1069</v>
      </c>
      <c r="PY51" s="1396" t="s">
        <v>1070</v>
      </c>
      <c r="PZ51" s="1397" t="s">
        <v>1071</v>
      </c>
      <c r="QB51" s="33" t="s">
        <v>1072</v>
      </c>
      <c r="QC51" s="1431" t="s">
        <v>1100</v>
      </c>
      <c r="QD51" s="1427" t="s">
        <v>1101</v>
      </c>
      <c r="QE51" s="1428" t="s">
        <v>1102</v>
      </c>
      <c r="QF51" s="1429" t="s">
        <v>1089</v>
      </c>
      <c r="QG51" s="1429" t="s">
        <v>1090</v>
      </c>
      <c r="QH51" s="1430" t="s">
        <v>1091</v>
      </c>
      <c r="QI51" s="1425" t="s">
        <v>1092</v>
      </c>
      <c r="QJ51" s="1426" t="s">
        <v>1093</v>
      </c>
      <c r="QK51" s="1425" t="s">
        <v>1094</v>
      </c>
      <c r="QL51" s="1426" t="s">
        <v>1095</v>
      </c>
      <c r="QM51" s="1425" t="s">
        <v>1096</v>
      </c>
      <c r="QN51" s="1426" t="s">
        <v>1097</v>
      </c>
      <c r="QO51" s="1425" t="s">
        <v>1098</v>
      </c>
      <c r="QP51" s="1426" t="s">
        <v>1099</v>
      </c>
      <c r="QR51" s="1435" t="s">
        <v>1105</v>
      </c>
      <c r="QS51" s="1425" t="s">
        <v>1106</v>
      </c>
      <c r="QT51" s="1426" t="s">
        <v>1107</v>
      </c>
      <c r="QU51" s="1424" t="s">
        <v>1108</v>
      </c>
      <c r="QV51" s="1425" t="s">
        <v>1109</v>
      </c>
      <c r="QW51" s="1426" t="s">
        <v>1110</v>
      </c>
      <c r="QX51" s="1424" t="s">
        <v>1111</v>
      </c>
      <c r="QY51" s="1425" t="s">
        <v>1112</v>
      </c>
      <c r="QZ51" s="1436" t="s">
        <v>1113</v>
      </c>
      <c r="RC51" s="1072" t="str">
        <f>$RC$49&amp;" ∩ "&amp;QR50</f>
        <v>HGS ∩ C1</v>
      </c>
      <c r="RD51" s="1072" t="str">
        <f t="shared" ref="RD51:RK51" si="12">$RC$49&amp;" ∩ "&amp;QS50</f>
        <v>HGS ∩ C2</v>
      </c>
      <c r="RE51" s="1072" t="str">
        <f t="shared" si="12"/>
        <v>HGS ∩ C3</v>
      </c>
      <c r="RF51" s="1072" t="str">
        <f t="shared" si="12"/>
        <v>HGS ∩ C4</v>
      </c>
      <c r="RG51" s="1072" t="str">
        <f t="shared" si="12"/>
        <v>HGS ∩ C5</v>
      </c>
      <c r="RH51" s="1072" t="str">
        <f t="shared" si="12"/>
        <v>HGS ∩ C6</v>
      </c>
      <c r="RI51" s="1072" t="str">
        <f t="shared" si="12"/>
        <v>HGS ∩ C7</v>
      </c>
      <c r="RJ51" s="1072" t="str">
        <f t="shared" si="12"/>
        <v>HGS ∩ C8</v>
      </c>
      <c r="RK51" s="1072" t="str">
        <f t="shared" si="12"/>
        <v>HGS ∩ C9</v>
      </c>
      <c r="RL51" s="1251"/>
      <c r="RM51" s="1072" t="str">
        <f>$RM$49&amp;" ∩ "&amp;QR50</f>
        <v>HE ∩ C1</v>
      </c>
      <c r="RN51" s="1072" t="str">
        <f t="shared" ref="RN51:RU51" si="13">$RM$49&amp;" ∩ "&amp;QS50</f>
        <v>HE ∩ C2</v>
      </c>
      <c r="RO51" s="1072" t="str">
        <f t="shared" si="13"/>
        <v>HE ∩ C3</v>
      </c>
      <c r="RP51" s="1072" t="str">
        <f t="shared" si="13"/>
        <v>HE ∩ C4</v>
      </c>
      <c r="RQ51" s="1072" t="str">
        <f t="shared" si="13"/>
        <v>HE ∩ C5</v>
      </c>
      <c r="RR51" s="1072" t="str">
        <f t="shared" si="13"/>
        <v>HE ∩ C6</v>
      </c>
      <c r="RS51" s="1072" t="str">
        <f t="shared" si="13"/>
        <v>HE ∩ C7</v>
      </c>
      <c r="RT51" s="1072" t="str">
        <f t="shared" si="13"/>
        <v>HE ∩ C8</v>
      </c>
      <c r="RU51" s="1072" t="str">
        <f t="shared" si="13"/>
        <v>HE ∩ C9</v>
      </c>
      <c r="RV51" s="1251"/>
      <c r="RW51" s="1072" t="str">
        <f>$RW$49&amp;" ∩ "&amp;QR50</f>
        <v>HLV ∩ C1</v>
      </c>
      <c r="RX51" s="1072" t="str">
        <f t="shared" ref="RX51:SE51" si="14">$RW$49&amp;" ∩ "&amp;QS50</f>
        <v>HLV ∩ C2</v>
      </c>
      <c r="RY51" s="1072" t="str">
        <f t="shared" si="14"/>
        <v>HLV ∩ C3</v>
      </c>
      <c r="RZ51" s="1072" t="str">
        <f t="shared" si="14"/>
        <v>HLV ∩ C4</v>
      </c>
      <c r="SA51" s="1072" t="str">
        <f t="shared" si="14"/>
        <v>HLV ∩ C5</v>
      </c>
      <c r="SB51" s="1072" t="str">
        <f t="shared" si="14"/>
        <v>HLV ∩ C6</v>
      </c>
      <c r="SC51" s="1072" t="str">
        <f t="shared" si="14"/>
        <v>HLV ∩ C7</v>
      </c>
      <c r="SD51" s="1072" t="str">
        <f t="shared" si="14"/>
        <v>HLV ∩ C8</v>
      </c>
      <c r="SE51" s="1072" t="str">
        <f t="shared" si="14"/>
        <v>HLV ∩ C9</v>
      </c>
      <c r="SF51" s="1251"/>
      <c r="SG51" s="1072" t="str">
        <f>$SG$49&amp;" ∩ "&amp;QR50</f>
        <v>HI ∩ C1</v>
      </c>
      <c r="SH51" s="1072" t="str">
        <f t="shared" ref="SH51:SO51" si="15">$SG$49&amp;" ∩ "&amp;QS50</f>
        <v>HI ∩ C2</v>
      </c>
      <c r="SI51" s="1072" t="str">
        <f t="shared" si="15"/>
        <v>HI ∩ C3</v>
      </c>
      <c r="SJ51" s="1072" t="str">
        <f t="shared" si="15"/>
        <v>HI ∩ C4</v>
      </c>
      <c r="SK51" s="1072" t="str">
        <f t="shared" si="15"/>
        <v>HI ∩ C5</v>
      </c>
      <c r="SL51" s="1072" t="str">
        <f t="shared" si="15"/>
        <v>HI ∩ C6</v>
      </c>
      <c r="SM51" s="1072" t="str">
        <f t="shared" si="15"/>
        <v>HI ∩ C7</v>
      </c>
      <c r="SN51" s="1072" t="str">
        <f t="shared" si="15"/>
        <v>HI ∩ C8</v>
      </c>
      <c r="SO51" s="1072" t="str">
        <f t="shared" si="15"/>
        <v>HI ∩ C9</v>
      </c>
      <c r="SP51" s="100"/>
      <c r="SQ51" s="114"/>
      <c r="SR51" s="1072" t="str">
        <f>$RC$49&amp;" | "&amp;QR50</f>
        <v>HGS | C1</v>
      </c>
      <c r="SS51" s="1072" t="str">
        <f t="shared" ref="SS51:SZ51" si="16">$RC$49&amp;" | "&amp;QS50</f>
        <v>HGS | C2</v>
      </c>
      <c r="ST51" s="1072" t="str">
        <f t="shared" si="16"/>
        <v>HGS | C3</v>
      </c>
      <c r="SU51" s="1072" t="str">
        <f t="shared" si="16"/>
        <v>HGS | C4</v>
      </c>
      <c r="SV51" s="1072" t="str">
        <f t="shared" si="16"/>
        <v>HGS | C5</v>
      </c>
      <c r="SW51" s="1072" t="str">
        <f t="shared" si="16"/>
        <v>HGS | C6</v>
      </c>
      <c r="SX51" s="1072" t="str">
        <f t="shared" si="16"/>
        <v>HGS | C7</v>
      </c>
      <c r="SY51" s="1072" t="str">
        <f t="shared" si="16"/>
        <v>HGS | C8</v>
      </c>
      <c r="SZ51" s="1072" t="str">
        <f t="shared" si="16"/>
        <v>HGS | C9</v>
      </c>
      <c r="TA51" s="1251"/>
      <c r="TB51" s="1072" t="str">
        <f>$RM$49&amp;" | "&amp;QR50</f>
        <v>HE | C1</v>
      </c>
      <c r="TC51" s="1072" t="str">
        <f t="shared" ref="TC51:TJ51" si="17">$RM$49&amp;" | "&amp;QS50</f>
        <v>HE | C2</v>
      </c>
      <c r="TD51" s="1072" t="str">
        <f t="shared" si="17"/>
        <v>HE | C3</v>
      </c>
      <c r="TE51" s="1072" t="str">
        <f t="shared" si="17"/>
        <v>HE | C4</v>
      </c>
      <c r="TF51" s="1072" t="str">
        <f t="shared" si="17"/>
        <v>HE | C5</v>
      </c>
      <c r="TG51" s="1072" t="str">
        <f t="shared" si="17"/>
        <v>HE | C6</v>
      </c>
      <c r="TH51" s="1072" t="str">
        <f t="shared" si="17"/>
        <v>HE | C7</v>
      </c>
      <c r="TI51" s="1072" t="str">
        <f t="shared" si="17"/>
        <v>HE | C8</v>
      </c>
      <c r="TJ51" s="1072" t="str">
        <f t="shared" si="17"/>
        <v>HE | C9</v>
      </c>
      <c r="TK51" s="1251"/>
      <c r="TL51" s="1072" t="str">
        <f>$RW$49&amp;" | "&amp;QR50</f>
        <v>HLV | C1</v>
      </c>
      <c r="TM51" s="1072" t="str">
        <f t="shared" ref="TM51:TT51" si="18">$RW$49&amp;" | "&amp;QS50</f>
        <v>HLV | C2</v>
      </c>
      <c r="TN51" s="1072" t="str">
        <f t="shared" si="18"/>
        <v>HLV | C3</v>
      </c>
      <c r="TO51" s="1072" t="str">
        <f t="shared" si="18"/>
        <v>HLV | C4</v>
      </c>
      <c r="TP51" s="1072" t="str">
        <f t="shared" si="18"/>
        <v>HLV | C5</v>
      </c>
      <c r="TQ51" s="1072" t="str">
        <f t="shared" si="18"/>
        <v>HLV | C6</v>
      </c>
      <c r="TR51" s="1072" t="str">
        <f t="shared" si="18"/>
        <v>HLV | C7</v>
      </c>
      <c r="TS51" s="1072" t="str">
        <f t="shared" si="18"/>
        <v>HLV | C8</v>
      </c>
      <c r="TT51" s="1072" t="str">
        <f t="shared" si="18"/>
        <v>HLV | C9</v>
      </c>
      <c r="TU51" s="1251"/>
      <c r="TV51" s="1072" t="str">
        <f>$SG$49&amp;" | "&amp;QR50</f>
        <v>HI | C1</v>
      </c>
      <c r="TW51" s="1072" t="str">
        <f t="shared" ref="TW51:UD51" si="19">$SG$49&amp;" | "&amp;QS50</f>
        <v>HI | C2</v>
      </c>
      <c r="TX51" s="1072" t="str">
        <f t="shared" si="19"/>
        <v>HI | C3</v>
      </c>
      <c r="TY51" s="1072" t="str">
        <f t="shared" si="19"/>
        <v>HI | C4</v>
      </c>
      <c r="TZ51" s="1072" t="str">
        <f t="shared" si="19"/>
        <v>HI | C5</v>
      </c>
      <c r="UA51" s="1072" t="str">
        <f t="shared" si="19"/>
        <v>HI | C6</v>
      </c>
      <c r="UB51" s="1072" t="str">
        <f t="shared" si="19"/>
        <v>HI | C7</v>
      </c>
      <c r="UC51" s="1072" t="str">
        <f t="shared" si="19"/>
        <v>HI | C8</v>
      </c>
      <c r="UD51" s="1438" t="str">
        <f t="shared" si="19"/>
        <v>HI | C9</v>
      </c>
    </row>
    <row r="52" spans="3:551" s="7" customFormat="1" ht="18" customHeight="1" thickTop="1" x14ac:dyDescent="0.25">
      <c r="D52" s="1308">
        <v>44027</v>
      </c>
      <c r="E52" s="215">
        <v>0</v>
      </c>
      <c r="F52" s="1390">
        <v>0</v>
      </c>
      <c r="G52" s="1390">
        <v>0</v>
      </c>
      <c r="H52" s="1390">
        <v>0</v>
      </c>
      <c r="I52" s="1390">
        <v>0</v>
      </c>
      <c r="J52" s="1390">
        <v>0</v>
      </c>
      <c r="K52" s="1390">
        <v>0</v>
      </c>
      <c r="L52" s="1390">
        <v>0</v>
      </c>
      <c r="M52" s="1390">
        <v>0</v>
      </c>
      <c r="N52" s="1390">
        <v>0</v>
      </c>
      <c r="O52" s="1390">
        <v>0</v>
      </c>
      <c r="P52" s="1390">
        <v>0</v>
      </c>
      <c r="Q52" s="1390">
        <v>0</v>
      </c>
      <c r="R52" s="1390">
        <v>0</v>
      </c>
      <c r="S52" s="1390">
        <v>0</v>
      </c>
      <c r="T52" s="1390">
        <v>0</v>
      </c>
      <c r="U52" s="1390">
        <v>0</v>
      </c>
      <c r="V52" s="1390">
        <v>0</v>
      </c>
      <c r="W52" s="1390">
        <v>0</v>
      </c>
      <c r="X52" s="1390">
        <v>0</v>
      </c>
      <c r="Y52" s="1390">
        <v>0</v>
      </c>
      <c r="Z52" s="1390">
        <v>0</v>
      </c>
      <c r="AA52" s="1390">
        <v>0</v>
      </c>
      <c r="AB52" s="1390">
        <v>0</v>
      </c>
      <c r="AC52" s="1390">
        <v>0</v>
      </c>
      <c r="AD52" s="1390">
        <v>0</v>
      </c>
      <c r="AE52" s="1390">
        <v>0</v>
      </c>
      <c r="AF52" s="1390">
        <v>0</v>
      </c>
      <c r="AG52" s="1390">
        <v>0</v>
      </c>
      <c r="AH52" s="1390">
        <v>0</v>
      </c>
      <c r="AI52" s="1390">
        <v>0</v>
      </c>
      <c r="AJ52" s="1390">
        <v>0</v>
      </c>
      <c r="AK52" s="1390">
        <v>0</v>
      </c>
      <c r="AL52" s="1390">
        <v>0</v>
      </c>
      <c r="AM52" s="1390">
        <v>0</v>
      </c>
      <c r="AN52" s="1390">
        <v>0</v>
      </c>
      <c r="AO52" s="1390">
        <v>0</v>
      </c>
      <c r="AP52" s="1390">
        <v>0</v>
      </c>
      <c r="AQ52" s="1390">
        <v>0</v>
      </c>
      <c r="AR52" s="1390">
        <v>0</v>
      </c>
      <c r="AS52" s="1390">
        <v>0</v>
      </c>
      <c r="AT52" s="1390">
        <v>0</v>
      </c>
      <c r="AU52" s="1390">
        <v>0</v>
      </c>
      <c r="AV52" s="1390">
        <v>0</v>
      </c>
      <c r="AW52" s="1390">
        <v>0</v>
      </c>
      <c r="AX52" s="1390">
        <v>0</v>
      </c>
      <c r="AY52" s="1390">
        <v>0</v>
      </c>
      <c r="AZ52" s="1390">
        <v>0</v>
      </c>
      <c r="BA52" s="1390">
        <v>0</v>
      </c>
      <c r="BB52" s="1390">
        <v>0</v>
      </c>
      <c r="BC52" s="1390">
        <v>0</v>
      </c>
      <c r="BD52" s="1390">
        <v>0</v>
      </c>
      <c r="BE52" s="1390">
        <v>0</v>
      </c>
      <c r="BF52" s="1390">
        <v>0</v>
      </c>
      <c r="BG52" s="1390">
        <v>0</v>
      </c>
      <c r="BH52" s="1390">
        <v>0</v>
      </c>
      <c r="BI52" s="1390">
        <v>0</v>
      </c>
      <c r="BJ52" s="1390">
        <v>0</v>
      </c>
      <c r="BK52" s="1390">
        <v>0</v>
      </c>
      <c r="BL52" s="1390">
        <v>0</v>
      </c>
      <c r="BM52" s="1390">
        <v>0</v>
      </c>
      <c r="BN52" s="1390">
        <v>0</v>
      </c>
      <c r="BO52" s="1390">
        <v>0</v>
      </c>
      <c r="BP52" s="1390">
        <v>0</v>
      </c>
      <c r="BQ52" s="1390">
        <v>0</v>
      </c>
      <c r="BR52" s="1390">
        <v>0</v>
      </c>
      <c r="BS52" s="1390">
        <v>0</v>
      </c>
      <c r="BT52" s="1390">
        <v>0</v>
      </c>
      <c r="BU52" s="1390">
        <v>0</v>
      </c>
      <c r="BV52" s="1390">
        <v>0</v>
      </c>
      <c r="BW52" s="1390">
        <v>0</v>
      </c>
      <c r="BX52" s="1390">
        <v>0</v>
      </c>
      <c r="BY52" s="1390">
        <v>0</v>
      </c>
      <c r="BZ52" s="1390">
        <v>0</v>
      </c>
      <c r="CA52" s="1390">
        <v>0</v>
      </c>
      <c r="CB52" s="1390">
        <v>0</v>
      </c>
      <c r="CC52" s="1390">
        <v>0</v>
      </c>
      <c r="CD52" s="1390">
        <v>0</v>
      </c>
      <c r="CE52" s="1390">
        <v>0</v>
      </c>
      <c r="CF52" s="1390">
        <v>0</v>
      </c>
      <c r="CG52" s="1390">
        <v>0</v>
      </c>
      <c r="CH52" s="1390">
        <v>0</v>
      </c>
      <c r="CI52" s="1390">
        <v>0</v>
      </c>
      <c r="CJ52" s="1390">
        <v>0</v>
      </c>
      <c r="CK52" s="1390">
        <v>0</v>
      </c>
      <c r="CL52" s="1390">
        <v>0</v>
      </c>
      <c r="CM52" s="1390">
        <v>0</v>
      </c>
      <c r="CN52" s="1390">
        <v>0</v>
      </c>
      <c r="CO52" s="1390">
        <v>0</v>
      </c>
      <c r="CP52" s="1390">
        <v>0</v>
      </c>
      <c r="CQ52" s="1390">
        <v>0</v>
      </c>
      <c r="CR52" s="1390">
        <v>0</v>
      </c>
      <c r="CS52" s="1390">
        <v>0</v>
      </c>
      <c r="CT52" s="1390">
        <v>0</v>
      </c>
      <c r="CU52" s="1390">
        <v>0</v>
      </c>
      <c r="CV52" s="1390">
        <v>0</v>
      </c>
      <c r="CW52" s="1390">
        <v>0</v>
      </c>
      <c r="CX52" s="1390">
        <v>0</v>
      </c>
      <c r="CY52" s="1390">
        <v>0</v>
      </c>
      <c r="CZ52" s="1390">
        <v>0</v>
      </c>
      <c r="DA52" s="1390">
        <v>0</v>
      </c>
      <c r="DB52" s="1390">
        <v>0</v>
      </c>
      <c r="DC52" s="1390">
        <v>0</v>
      </c>
      <c r="DD52" s="1390">
        <v>0</v>
      </c>
      <c r="DE52" s="1390">
        <v>0</v>
      </c>
      <c r="DF52" s="1390">
        <v>0</v>
      </c>
      <c r="DG52" s="1390">
        <v>0</v>
      </c>
      <c r="DH52" s="1390">
        <v>0</v>
      </c>
      <c r="DI52" s="1390">
        <v>0</v>
      </c>
      <c r="DJ52" s="1390">
        <v>0</v>
      </c>
      <c r="DK52" s="1390">
        <v>0</v>
      </c>
      <c r="DL52" s="1390">
        <v>0</v>
      </c>
      <c r="DM52" s="1390">
        <v>0</v>
      </c>
      <c r="DN52" s="1390">
        <v>0</v>
      </c>
      <c r="DO52" s="1390">
        <v>0</v>
      </c>
      <c r="DP52" s="1390">
        <v>0</v>
      </c>
      <c r="DQ52" s="1390">
        <v>0</v>
      </c>
      <c r="DR52" s="1390">
        <v>0</v>
      </c>
      <c r="DS52" s="1390">
        <v>0</v>
      </c>
      <c r="DT52" s="1390">
        <v>0</v>
      </c>
      <c r="DU52" s="1390">
        <v>0</v>
      </c>
      <c r="DV52" s="1390">
        <v>0</v>
      </c>
      <c r="DW52" s="1390">
        <v>0</v>
      </c>
      <c r="DX52" s="1390">
        <v>0</v>
      </c>
      <c r="DY52" s="1390">
        <v>0</v>
      </c>
      <c r="DZ52" s="1390">
        <v>0</v>
      </c>
      <c r="EA52" s="1390">
        <v>0</v>
      </c>
      <c r="EB52" s="1390">
        <v>0</v>
      </c>
      <c r="EC52" s="1390">
        <v>0</v>
      </c>
      <c r="ED52" s="1390">
        <v>0</v>
      </c>
      <c r="EE52" s="1390">
        <v>0</v>
      </c>
      <c r="EF52" s="1390">
        <v>0</v>
      </c>
      <c r="EG52" s="1390">
        <v>0</v>
      </c>
      <c r="EH52" s="1390">
        <v>0</v>
      </c>
      <c r="EI52" s="1390">
        <v>0</v>
      </c>
      <c r="EJ52" s="1390">
        <v>0</v>
      </c>
      <c r="EK52" s="1390">
        <v>0</v>
      </c>
      <c r="EL52" s="1390">
        <v>0</v>
      </c>
      <c r="EM52" s="1390">
        <v>0</v>
      </c>
      <c r="EN52" s="1390">
        <v>0</v>
      </c>
      <c r="EO52" s="1390">
        <v>0</v>
      </c>
      <c r="EP52" s="1390">
        <v>0</v>
      </c>
      <c r="EQ52" s="1390">
        <v>0</v>
      </c>
      <c r="ER52" s="1391">
        <v>0</v>
      </c>
      <c r="ES52" s="701"/>
      <c r="ET52" s="314">
        <f>EXP(E52/$D$44)</f>
        <v>1</v>
      </c>
      <c r="EU52" s="1390">
        <f t="shared" ref="EU52:EU77" si="20">EXP(F52/$D$44)</f>
        <v>1</v>
      </c>
      <c r="EV52" s="1390">
        <f t="shared" ref="EV52:EV77" si="21">EXP(G52/$D$44)</f>
        <v>1</v>
      </c>
      <c r="EW52" s="1390">
        <f t="shared" ref="EW52:EW77" si="22">EXP(H52/$D$44)</f>
        <v>1</v>
      </c>
      <c r="EX52" s="1390">
        <f t="shared" ref="EX52:EX77" si="23">EXP(I52/$D$44)</f>
        <v>1</v>
      </c>
      <c r="EY52" s="1390">
        <f t="shared" ref="EY52:EY77" si="24">EXP(J52/$D$44)</f>
        <v>1</v>
      </c>
      <c r="EZ52" s="1390">
        <f t="shared" ref="EZ52:EZ77" si="25">EXP(K52/$D$44)</f>
        <v>1</v>
      </c>
      <c r="FA52" s="1390">
        <f t="shared" ref="FA52:FA77" si="26">EXP(L52/$D$44)</f>
        <v>1</v>
      </c>
      <c r="FB52" s="1390">
        <f t="shared" ref="FB52:FB77" si="27">EXP(M52/$D$44)</f>
        <v>1</v>
      </c>
      <c r="FC52" s="1390">
        <f t="shared" ref="FC52:FC77" si="28">EXP(N52/$D$44)</f>
        <v>1</v>
      </c>
      <c r="FD52" s="1390">
        <f t="shared" ref="FD52:FD77" si="29">EXP(O52/$D$44)</f>
        <v>1</v>
      </c>
      <c r="FE52" s="1390">
        <f t="shared" ref="FE52:FE77" si="30">EXP(P52/$D$44)</f>
        <v>1</v>
      </c>
      <c r="FF52" s="1390">
        <f t="shared" ref="FF52:FF77" si="31">EXP(Q52/$D$44)</f>
        <v>1</v>
      </c>
      <c r="FG52" s="1390">
        <f t="shared" ref="FG52:FG77" si="32">EXP(R52/$D$44)</f>
        <v>1</v>
      </c>
      <c r="FH52" s="1390">
        <f t="shared" ref="FH52:FH77" si="33">EXP(S52/$D$44)</f>
        <v>1</v>
      </c>
      <c r="FI52" s="1390">
        <f t="shared" ref="FI52:FI77" si="34">EXP(T52/$D$44)</f>
        <v>1</v>
      </c>
      <c r="FJ52" s="1390">
        <f t="shared" ref="FJ52:FJ77" si="35">EXP(U52/$D$44)</f>
        <v>1</v>
      </c>
      <c r="FK52" s="1390">
        <f t="shared" ref="FK52:FK77" si="36">EXP(V52/$D$44)</f>
        <v>1</v>
      </c>
      <c r="FL52" s="1390">
        <f t="shared" ref="FL52:FL77" si="37">EXP(W52/$D$44)</f>
        <v>1</v>
      </c>
      <c r="FM52" s="1390">
        <f t="shared" ref="FM52:FM77" si="38">EXP(X52/$D$44)</f>
        <v>1</v>
      </c>
      <c r="FN52" s="1390">
        <f t="shared" ref="FN52:FN77" si="39">EXP(Y52/$D$44)</f>
        <v>1</v>
      </c>
      <c r="FO52" s="1390">
        <f t="shared" ref="FO52:FO77" si="40">EXP(Z52/$D$44)</f>
        <v>1</v>
      </c>
      <c r="FP52" s="1390">
        <f t="shared" ref="FP52:FP77" si="41">EXP(AA52/$D$44)</f>
        <v>1</v>
      </c>
      <c r="FQ52" s="1390">
        <f t="shared" ref="FQ52:FQ77" si="42">EXP(AB52/$D$44)</f>
        <v>1</v>
      </c>
      <c r="FR52" s="1390">
        <f t="shared" ref="FR52:FR77" si="43">EXP(AC52/$D$44)</f>
        <v>1</v>
      </c>
      <c r="FS52" s="1390">
        <f t="shared" ref="FS52:FS77" si="44">EXP(AD52/$D$44)</f>
        <v>1</v>
      </c>
      <c r="FT52" s="1390">
        <f t="shared" ref="FT52:FT77" si="45">EXP(AE52/$D$44)</f>
        <v>1</v>
      </c>
      <c r="FU52" s="1390">
        <f t="shared" ref="FU52:FU77" si="46">EXP(AF52/$D$44)</f>
        <v>1</v>
      </c>
      <c r="FV52" s="1390">
        <f t="shared" ref="FV52:FV77" si="47">EXP(AG52/$D$44)</f>
        <v>1</v>
      </c>
      <c r="FW52" s="1390">
        <f t="shared" ref="FW52:FW77" si="48">EXP(AH52/$D$44)</f>
        <v>1</v>
      </c>
      <c r="FX52" s="1390">
        <f t="shared" ref="FX52:FX77" si="49">EXP(AI52/$D$44)</f>
        <v>1</v>
      </c>
      <c r="FY52" s="1390">
        <f t="shared" ref="FY52:FY77" si="50">EXP(AJ52/$D$44)</f>
        <v>1</v>
      </c>
      <c r="FZ52" s="1390">
        <f t="shared" ref="FZ52:FZ77" si="51">EXP(AK52/$D$44)</f>
        <v>1</v>
      </c>
      <c r="GA52" s="1390">
        <f t="shared" ref="GA52:GA77" si="52">EXP(AL52/$D$44)</f>
        <v>1</v>
      </c>
      <c r="GB52" s="1390">
        <f t="shared" ref="GB52:GB77" si="53">EXP(AM52/$D$44)</f>
        <v>1</v>
      </c>
      <c r="GC52" s="1390">
        <f t="shared" ref="GC52:GC77" si="54">EXP(AN52/$D$44)</f>
        <v>1</v>
      </c>
      <c r="GD52" s="1390">
        <f t="shared" ref="GD52:GD77" si="55">EXP(AO52/$D$44)</f>
        <v>1</v>
      </c>
      <c r="GE52" s="1390">
        <f t="shared" ref="GE52:GE77" si="56">EXP(AP52/$D$44)</f>
        <v>1</v>
      </c>
      <c r="GF52" s="1390">
        <f t="shared" ref="GF52:GF77" si="57">EXP(AQ52/$D$44)</f>
        <v>1</v>
      </c>
      <c r="GG52" s="1390">
        <f t="shared" ref="GG52:GG77" si="58">EXP(AR52/$D$44)</f>
        <v>1</v>
      </c>
      <c r="GH52" s="1390">
        <f t="shared" ref="GH52:GH77" si="59">EXP(AS52/$D$44)</f>
        <v>1</v>
      </c>
      <c r="GI52" s="1390">
        <f t="shared" ref="GI52:GI77" si="60">EXP(AT52/$D$44)</f>
        <v>1</v>
      </c>
      <c r="GJ52" s="1390">
        <f t="shared" ref="GJ52:GJ77" si="61">EXP(AU52/$D$44)</f>
        <v>1</v>
      </c>
      <c r="GK52" s="1390">
        <f t="shared" ref="GK52:GK77" si="62">EXP(AV52/$D$44)</f>
        <v>1</v>
      </c>
      <c r="GL52" s="1390">
        <f t="shared" ref="GL52:GL77" si="63">EXP(AW52/$D$44)</f>
        <v>1</v>
      </c>
      <c r="GM52" s="1390">
        <f t="shared" ref="GM52:GM77" si="64">EXP(AX52/$D$44)</f>
        <v>1</v>
      </c>
      <c r="GN52" s="1390">
        <f t="shared" ref="GN52:GN77" si="65">EXP(AY52/$D$44)</f>
        <v>1</v>
      </c>
      <c r="GO52" s="1390">
        <f t="shared" ref="GO52:GO77" si="66">EXP(AZ52/$D$44)</f>
        <v>1</v>
      </c>
      <c r="GP52" s="1390">
        <f t="shared" ref="GP52:GP77" si="67">EXP(BA52/$D$44)</f>
        <v>1</v>
      </c>
      <c r="GQ52" s="1390">
        <f t="shared" ref="GQ52:GQ77" si="68">EXP(BB52/$D$44)</f>
        <v>1</v>
      </c>
      <c r="GR52" s="1390">
        <f t="shared" ref="GR52:GR77" si="69">EXP(BC52/$D$44)</f>
        <v>1</v>
      </c>
      <c r="GS52" s="1390">
        <f t="shared" ref="GS52:GS77" si="70">EXP(BD52/$D$44)</f>
        <v>1</v>
      </c>
      <c r="GT52" s="1390">
        <f t="shared" ref="GT52:GT77" si="71">EXP(BE52/$D$44)</f>
        <v>1</v>
      </c>
      <c r="GU52" s="1390">
        <f t="shared" ref="GU52:GU77" si="72">EXP(BF52/$D$44)</f>
        <v>1</v>
      </c>
      <c r="GV52" s="1390">
        <f t="shared" ref="GV52:GV77" si="73">EXP(BG52/$D$44)</f>
        <v>1</v>
      </c>
      <c r="GW52" s="1390">
        <f t="shared" ref="GW52:GW77" si="74">EXP(BH52/$D$44)</f>
        <v>1</v>
      </c>
      <c r="GX52" s="1390">
        <f t="shared" ref="GX52:GX77" si="75">EXP(BI52/$D$44)</f>
        <v>1</v>
      </c>
      <c r="GY52" s="1390">
        <f t="shared" ref="GY52:GY77" si="76">EXP(BJ52/$D$44)</f>
        <v>1</v>
      </c>
      <c r="GZ52" s="1390">
        <f t="shared" ref="GZ52:GZ77" si="77">EXP(BK52/$D$44)</f>
        <v>1</v>
      </c>
      <c r="HA52" s="1390">
        <f t="shared" ref="HA52:HA77" si="78">EXP(BL52/$D$44)</f>
        <v>1</v>
      </c>
      <c r="HB52" s="1390">
        <f t="shared" ref="HB52:HB77" si="79">EXP(BM52/$D$44)</f>
        <v>1</v>
      </c>
      <c r="HC52" s="1390">
        <f t="shared" ref="HC52:HC77" si="80">EXP(BN52/$D$44)</f>
        <v>1</v>
      </c>
      <c r="HD52" s="1390">
        <f t="shared" ref="HD52:HD77" si="81">EXP(BO52/$D$44)</f>
        <v>1</v>
      </c>
      <c r="HE52" s="1390">
        <f t="shared" ref="HE52:HE77" si="82">EXP(BP52/$D$44)</f>
        <v>1</v>
      </c>
      <c r="HF52" s="1390">
        <f t="shared" ref="HF52:HF77" si="83">EXP(BQ52/$D$44)</f>
        <v>1</v>
      </c>
      <c r="HG52" s="1390">
        <f t="shared" ref="HG52:HG77" si="84">EXP(BR52/$D$44)</f>
        <v>1</v>
      </c>
      <c r="HH52" s="1390">
        <f t="shared" ref="HH52:HH77" si="85">EXP(BS52/$D$44)</f>
        <v>1</v>
      </c>
      <c r="HI52" s="1390">
        <f t="shared" ref="HI52:HI77" si="86">EXP(BT52/$D$44)</f>
        <v>1</v>
      </c>
      <c r="HJ52" s="1390">
        <f t="shared" ref="HJ52:HJ77" si="87">EXP(BU52/$D$44)</f>
        <v>1</v>
      </c>
      <c r="HK52" s="1390">
        <f t="shared" ref="HK52:HK77" si="88">EXP(BV52/$D$44)</f>
        <v>1</v>
      </c>
      <c r="HL52" s="1390">
        <f t="shared" ref="HL52:HL77" si="89">EXP(BW52/$D$44)</f>
        <v>1</v>
      </c>
      <c r="HM52" s="1390">
        <f t="shared" ref="HM52:HM77" si="90">EXP(BX52/$D$44)</f>
        <v>1</v>
      </c>
      <c r="HN52" s="1390">
        <f t="shared" ref="HN52:HN77" si="91">EXP(BY52/$D$44)</f>
        <v>1</v>
      </c>
      <c r="HO52" s="1390">
        <f t="shared" ref="HO52:HO77" si="92">EXP(BZ52/$D$44)</f>
        <v>1</v>
      </c>
      <c r="HP52" s="1390">
        <f t="shared" ref="HP52:HP77" si="93">EXP(CA52/$D$44)</f>
        <v>1</v>
      </c>
      <c r="HQ52" s="1390">
        <f t="shared" ref="HQ52:HQ77" si="94">EXP(CB52/$D$44)</f>
        <v>1</v>
      </c>
      <c r="HR52" s="1390">
        <f t="shared" ref="HR52:HR77" si="95">EXP(CC52/$D$44)</f>
        <v>1</v>
      </c>
      <c r="HS52" s="1390">
        <f t="shared" ref="HS52:HS77" si="96">EXP(CD52/$D$44)</f>
        <v>1</v>
      </c>
      <c r="HT52" s="1390">
        <f t="shared" ref="HT52:HT77" si="97">EXP(CE52/$D$44)</f>
        <v>1</v>
      </c>
      <c r="HU52" s="1390">
        <f t="shared" ref="HU52:HU77" si="98">EXP(CF52/$D$44)</f>
        <v>1</v>
      </c>
      <c r="HV52" s="1390">
        <f t="shared" ref="HV52:HV77" si="99">EXP(CG52/$D$44)</f>
        <v>1</v>
      </c>
      <c r="HW52" s="1390">
        <f t="shared" ref="HW52:HW77" si="100">EXP(CH52/$D$44)</f>
        <v>1</v>
      </c>
      <c r="HX52" s="1390">
        <f t="shared" ref="HX52:HX77" si="101">EXP(CI52/$D$44)</f>
        <v>1</v>
      </c>
      <c r="HY52" s="1390">
        <f t="shared" ref="HY52:HY77" si="102">EXP(CJ52/$D$44)</f>
        <v>1</v>
      </c>
      <c r="HZ52" s="1390">
        <f t="shared" ref="HZ52:HZ77" si="103">EXP(CK52/$D$44)</f>
        <v>1</v>
      </c>
      <c r="IA52" s="1390">
        <f t="shared" ref="IA52:IA77" si="104">EXP(CL52/$D$44)</f>
        <v>1</v>
      </c>
      <c r="IB52" s="1390">
        <f t="shared" ref="IB52:IB77" si="105">EXP(CM52/$D$44)</f>
        <v>1</v>
      </c>
      <c r="IC52" s="1390">
        <f t="shared" ref="IC52:IC77" si="106">EXP(CN52/$D$44)</f>
        <v>1</v>
      </c>
      <c r="ID52" s="1390">
        <f t="shared" ref="ID52:ID77" si="107">EXP(CO52/$D$44)</f>
        <v>1</v>
      </c>
      <c r="IE52" s="1390">
        <f t="shared" ref="IE52:IE77" si="108">EXP(CP52/$D$44)</f>
        <v>1</v>
      </c>
      <c r="IF52" s="1390">
        <f t="shared" ref="IF52:IF77" si="109">EXP(CQ52/$D$44)</f>
        <v>1</v>
      </c>
      <c r="IG52" s="1390">
        <f t="shared" ref="IG52:IG77" si="110">EXP(CR52/$D$44)</f>
        <v>1</v>
      </c>
      <c r="IH52" s="1390">
        <f t="shared" ref="IH52:IH77" si="111">EXP(CS52/$D$44)</f>
        <v>1</v>
      </c>
      <c r="II52" s="1390">
        <f t="shared" ref="II52:II77" si="112">EXP(CT52/$D$44)</f>
        <v>1</v>
      </c>
      <c r="IJ52" s="1390">
        <f t="shared" ref="IJ52:IJ77" si="113">EXP(CU52/$D$44)</f>
        <v>1</v>
      </c>
      <c r="IK52" s="1390">
        <f t="shared" ref="IK52:IK77" si="114">EXP(CV52/$D$44)</f>
        <v>1</v>
      </c>
      <c r="IL52" s="1390">
        <f t="shared" ref="IL52:IL77" si="115">EXP(CW52/$D$44)</f>
        <v>1</v>
      </c>
      <c r="IM52" s="1390">
        <f t="shared" ref="IM52:IM77" si="116">EXP(CX52/$D$44)</f>
        <v>1</v>
      </c>
      <c r="IN52" s="1390">
        <f t="shared" ref="IN52:IN77" si="117">EXP(CY52/$D$44)</f>
        <v>1</v>
      </c>
      <c r="IO52" s="1390">
        <f t="shared" ref="IO52:IO77" si="118">EXP(CZ52/$D$44)</f>
        <v>1</v>
      </c>
      <c r="IP52" s="1390">
        <f t="shared" ref="IP52:IP77" si="119">EXP(DA52/$D$44)</f>
        <v>1</v>
      </c>
      <c r="IQ52" s="1390">
        <f t="shared" ref="IQ52:IQ77" si="120">EXP(DB52/$D$44)</f>
        <v>1</v>
      </c>
      <c r="IR52" s="1390">
        <f t="shared" ref="IR52:IR77" si="121">EXP(DC52/$D$44)</f>
        <v>1</v>
      </c>
      <c r="IS52" s="1390">
        <f t="shared" ref="IS52:IS77" si="122">EXP(DD52/$D$44)</f>
        <v>1</v>
      </c>
      <c r="IT52" s="1390">
        <f t="shared" ref="IT52:IT77" si="123">EXP(DE52/$D$44)</f>
        <v>1</v>
      </c>
      <c r="IU52" s="1390">
        <f t="shared" ref="IU52:IU77" si="124">EXP(DF52/$D$44)</f>
        <v>1</v>
      </c>
      <c r="IV52" s="1390">
        <f t="shared" ref="IV52:IV77" si="125">EXP(DG52/$D$44)</f>
        <v>1</v>
      </c>
      <c r="IW52" s="1390">
        <f t="shared" ref="IW52:IW77" si="126">EXP(DH52/$D$44)</f>
        <v>1</v>
      </c>
      <c r="IX52" s="1390">
        <f t="shared" ref="IX52:IX77" si="127">EXP(DI52/$D$44)</f>
        <v>1</v>
      </c>
      <c r="IY52" s="1390">
        <f t="shared" ref="IY52:IY77" si="128">EXP(DJ52/$D$44)</f>
        <v>1</v>
      </c>
      <c r="IZ52" s="1390">
        <f t="shared" ref="IZ52:IZ77" si="129">EXP(DK52/$D$44)</f>
        <v>1</v>
      </c>
      <c r="JA52" s="1390">
        <f t="shared" ref="JA52:JA77" si="130">EXP(DL52/$D$44)</f>
        <v>1</v>
      </c>
      <c r="JB52" s="1390">
        <f t="shared" ref="JB52:JB77" si="131">EXP(DM52/$D$44)</f>
        <v>1</v>
      </c>
      <c r="JC52" s="1390">
        <f t="shared" ref="JC52:JC77" si="132">EXP(DN52/$D$44)</f>
        <v>1</v>
      </c>
      <c r="JD52" s="1390">
        <f t="shared" ref="JD52:JD77" si="133">EXP(DO52/$D$44)</f>
        <v>1</v>
      </c>
      <c r="JE52" s="1390">
        <f t="shared" ref="JE52:JE77" si="134">EXP(DP52/$D$44)</f>
        <v>1</v>
      </c>
      <c r="JF52" s="1390">
        <f t="shared" ref="JF52:JF77" si="135">EXP(DQ52/$D$44)</f>
        <v>1</v>
      </c>
      <c r="JG52" s="1390">
        <f t="shared" ref="JG52:JG77" si="136">EXP(DR52/$D$44)</f>
        <v>1</v>
      </c>
      <c r="JH52" s="1390">
        <f t="shared" ref="JH52:JH77" si="137">EXP(DS52/$D$44)</f>
        <v>1</v>
      </c>
      <c r="JI52" s="1390">
        <f t="shared" ref="JI52:JI77" si="138">EXP(DT52/$D$44)</f>
        <v>1</v>
      </c>
      <c r="JJ52" s="1390">
        <f t="shared" ref="JJ52:JJ77" si="139">EXP(DU52/$D$44)</f>
        <v>1</v>
      </c>
      <c r="JK52" s="1390">
        <f t="shared" ref="JK52:JK77" si="140">EXP(DV52/$D$44)</f>
        <v>1</v>
      </c>
      <c r="JL52" s="1390">
        <f t="shared" ref="JL52:JL77" si="141">EXP(DW52/$D$44)</f>
        <v>1</v>
      </c>
      <c r="JM52" s="1390">
        <f t="shared" ref="JM52:JM77" si="142">EXP(DX52/$D$44)</f>
        <v>1</v>
      </c>
      <c r="JN52" s="1390">
        <f t="shared" ref="JN52:JN77" si="143">EXP(DY52/$D$44)</f>
        <v>1</v>
      </c>
      <c r="JO52" s="1390">
        <f t="shared" ref="JO52:JO77" si="144">EXP(DZ52/$D$44)</f>
        <v>1</v>
      </c>
      <c r="JP52" s="1390">
        <f t="shared" ref="JP52:JP77" si="145">EXP(EA52/$D$44)</f>
        <v>1</v>
      </c>
      <c r="JQ52" s="1390">
        <f t="shared" ref="JQ52:JQ77" si="146">EXP(EB52/$D$44)</f>
        <v>1</v>
      </c>
      <c r="JR52" s="1390">
        <f t="shared" ref="JR52:JR77" si="147">EXP(EC52/$D$44)</f>
        <v>1</v>
      </c>
      <c r="JS52" s="1390">
        <f t="shared" ref="JS52:JS77" si="148">EXP(ED52/$D$44)</f>
        <v>1</v>
      </c>
      <c r="JT52" s="1390">
        <f t="shared" ref="JT52:JT77" si="149">EXP(EE52/$D$44)</f>
        <v>1</v>
      </c>
      <c r="JU52" s="1390">
        <f t="shared" ref="JU52:JU77" si="150">EXP(EF52/$D$44)</f>
        <v>1</v>
      </c>
      <c r="JV52" s="1390">
        <f t="shared" ref="JV52:JV77" si="151">EXP(EG52/$D$44)</f>
        <v>1</v>
      </c>
      <c r="JW52" s="1390">
        <f t="shared" ref="JW52:JW77" si="152">EXP(EH52/$D$44)</f>
        <v>1</v>
      </c>
      <c r="JX52" s="1390">
        <f t="shared" ref="JX52:JX77" si="153">EXP(EI52/$D$44)</f>
        <v>1</v>
      </c>
      <c r="JY52" s="1390">
        <f t="shared" ref="JY52:JY77" si="154">EXP(EJ52/$D$44)</f>
        <v>1</v>
      </c>
      <c r="JZ52" s="1390">
        <f t="shared" ref="JZ52:JZ77" si="155">EXP(EK52/$D$44)</f>
        <v>1</v>
      </c>
      <c r="KA52" s="1390">
        <f t="shared" ref="KA52:KA77" si="156">EXP(EL52/$D$44)</f>
        <v>1</v>
      </c>
      <c r="KB52" s="1390">
        <f t="shared" ref="KB52:KB77" si="157">EXP(EM52/$D$44)</f>
        <v>1</v>
      </c>
      <c r="KC52" s="1390">
        <f t="shared" ref="KC52:KC77" si="158">EXP(EN52/$D$44)</f>
        <v>1</v>
      </c>
      <c r="KD52" s="1390">
        <f t="shared" ref="KD52:KD77" si="159">EXP(EO52/$D$44)</f>
        <v>1</v>
      </c>
      <c r="KE52" s="1390">
        <f t="shared" ref="KE52:KE77" si="160">EXP(EP52/$D$44)</f>
        <v>1</v>
      </c>
      <c r="KF52" s="1390">
        <f t="shared" ref="KF52:KF77" si="161">EXP(EQ52/$D$44)</f>
        <v>1</v>
      </c>
      <c r="KG52" s="1398">
        <f t="shared" ref="KG52:KG77" si="162">EXP(ER52/$D$44)</f>
        <v>1</v>
      </c>
      <c r="KH52" s="1406">
        <f t="shared" ref="KH52:KH77" si="163">SUM(ET52:KG52)</f>
        <v>144</v>
      </c>
      <c r="KI52" s="377"/>
      <c r="KJ52" s="1443">
        <f t="shared" ref="KJ52:KJ77" si="164">$D$44*LN(KH52)</f>
        <v>19.879253198304003</v>
      </c>
      <c r="KK52" s="49">
        <f t="shared" ref="KK52:KK77" si="165">(KJ52-KJ51)</f>
        <v>19.879253198304003</v>
      </c>
      <c r="KL52" s="377"/>
      <c r="KM52" s="1408">
        <f t="shared" ref="KM52:KM77" si="166">ET52/$KH52</f>
        <v>6.9444444444444441E-3</v>
      </c>
      <c r="KN52" s="1409">
        <f t="shared" ref="KN52:KN77" si="167">EU52/$KH52</f>
        <v>6.9444444444444441E-3</v>
      </c>
      <c r="KO52" s="1409">
        <f t="shared" ref="KO52:KO77" si="168">EV52/$KH52</f>
        <v>6.9444444444444441E-3</v>
      </c>
      <c r="KP52" s="1409">
        <f t="shared" ref="KP52:KP77" si="169">EW52/$KH52</f>
        <v>6.9444444444444441E-3</v>
      </c>
      <c r="KQ52" s="1409">
        <f t="shared" ref="KQ52:KQ77" si="170">EX52/$KH52</f>
        <v>6.9444444444444441E-3</v>
      </c>
      <c r="KR52" s="1409">
        <f t="shared" ref="KR52:KR77" si="171">EY52/$KH52</f>
        <v>6.9444444444444441E-3</v>
      </c>
      <c r="KS52" s="1409">
        <f t="shared" ref="KS52:KS77" si="172">EZ52/$KH52</f>
        <v>6.9444444444444441E-3</v>
      </c>
      <c r="KT52" s="1409">
        <f t="shared" ref="KT52:KT77" si="173">FA52/$KH52</f>
        <v>6.9444444444444441E-3</v>
      </c>
      <c r="KU52" s="1409">
        <f t="shared" ref="KU52:KU77" si="174">FB52/$KH52</f>
        <v>6.9444444444444441E-3</v>
      </c>
      <c r="KV52" s="1409">
        <f t="shared" ref="KV52:KV77" si="175">FC52/$KH52</f>
        <v>6.9444444444444441E-3</v>
      </c>
      <c r="KW52" s="1409">
        <f t="shared" ref="KW52:KW77" si="176">FD52/$KH52</f>
        <v>6.9444444444444441E-3</v>
      </c>
      <c r="KX52" s="1409">
        <f t="shared" ref="KX52:KX77" si="177">FE52/$KH52</f>
        <v>6.9444444444444441E-3</v>
      </c>
      <c r="KY52" s="1409">
        <f t="shared" ref="KY52:KY77" si="178">FF52/$KH52</f>
        <v>6.9444444444444441E-3</v>
      </c>
      <c r="KZ52" s="1409">
        <f t="shared" ref="KZ52:KZ77" si="179">FG52/$KH52</f>
        <v>6.9444444444444441E-3</v>
      </c>
      <c r="LA52" s="1409">
        <f t="shared" ref="LA52:LA77" si="180">FH52/$KH52</f>
        <v>6.9444444444444441E-3</v>
      </c>
      <c r="LB52" s="1409">
        <f t="shared" ref="LB52:LB77" si="181">FI52/$KH52</f>
        <v>6.9444444444444441E-3</v>
      </c>
      <c r="LC52" s="1409">
        <f t="shared" ref="LC52:LC77" si="182">FJ52/$KH52</f>
        <v>6.9444444444444441E-3</v>
      </c>
      <c r="LD52" s="1409">
        <f t="shared" ref="LD52:LD77" si="183">FK52/$KH52</f>
        <v>6.9444444444444441E-3</v>
      </c>
      <c r="LE52" s="1409">
        <f t="shared" ref="LE52:LE77" si="184">FL52/$KH52</f>
        <v>6.9444444444444441E-3</v>
      </c>
      <c r="LF52" s="1409">
        <f t="shared" ref="LF52:LF77" si="185">FM52/$KH52</f>
        <v>6.9444444444444441E-3</v>
      </c>
      <c r="LG52" s="1409">
        <f t="shared" ref="LG52:LG77" si="186">FN52/$KH52</f>
        <v>6.9444444444444441E-3</v>
      </c>
      <c r="LH52" s="1409">
        <f t="shared" ref="LH52:LH77" si="187">FO52/$KH52</f>
        <v>6.9444444444444441E-3</v>
      </c>
      <c r="LI52" s="1409">
        <f t="shared" ref="LI52:LI77" si="188">FP52/$KH52</f>
        <v>6.9444444444444441E-3</v>
      </c>
      <c r="LJ52" s="1409">
        <f t="shared" ref="LJ52:LJ77" si="189">FQ52/$KH52</f>
        <v>6.9444444444444441E-3</v>
      </c>
      <c r="LK52" s="1409">
        <f t="shared" ref="LK52:LK77" si="190">FR52/$KH52</f>
        <v>6.9444444444444441E-3</v>
      </c>
      <c r="LL52" s="1409">
        <f t="shared" ref="LL52:LL77" si="191">FS52/$KH52</f>
        <v>6.9444444444444441E-3</v>
      </c>
      <c r="LM52" s="1409">
        <f t="shared" ref="LM52:LM77" si="192">FT52/$KH52</f>
        <v>6.9444444444444441E-3</v>
      </c>
      <c r="LN52" s="1409">
        <f t="shared" ref="LN52:LN77" si="193">FU52/$KH52</f>
        <v>6.9444444444444441E-3</v>
      </c>
      <c r="LO52" s="1409">
        <f t="shared" ref="LO52:LO77" si="194">FV52/$KH52</f>
        <v>6.9444444444444441E-3</v>
      </c>
      <c r="LP52" s="1409">
        <f t="shared" ref="LP52:LP77" si="195">FW52/$KH52</f>
        <v>6.9444444444444441E-3</v>
      </c>
      <c r="LQ52" s="1409">
        <f t="shared" ref="LQ52:LQ77" si="196">FX52/$KH52</f>
        <v>6.9444444444444441E-3</v>
      </c>
      <c r="LR52" s="1409">
        <f t="shared" ref="LR52:LR77" si="197">FY52/$KH52</f>
        <v>6.9444444444444441E-3</v>
      </c>
      <c r="LS52" s="1409">
        <f t="shared" ref="LS52:LS77" si="198">FZ52/$KH52</f>
        <v>6.9444444444444441E-3</v>
      </c>
      <c r="LT52" s="1409">
        <f t="shared" ref="LT52:LT77" si="199">GA52/$KH52</f>
        <v>6.9444444444444441E-3</v>
      </c>
      <c r="LU52" s="1409">
        <f t="shared" ref="LU52:LU77" si="200">GB52/$KH52</f>
        <v>6.9444444444444441E-3</v>
      </c>
      <c r="LV52" s="1409">
        <f t="shared" ref="LV52:LV77" si="201">GC52/$KH52</f>
        <v>6.9444444444444441E-3</v>
      </c>
      <c r="LW52" s="1409">
        <f t="shared" ref="LW52:LW77" si="202">GD52/$KH52</f>
        <v>6.9444444444444441E-3</v>
      </c>
      <c r="LX52" s="1409">
        <f t="shared" ref="LX52:LX77" si="203">GE52/$KH52</f>
        <v>6.9444444444444441E-3</v>
      </c>
      <c r="LY52" s="1409">
        <f t="shared" ref="LY52:LY77" si="204">GF52/$KH52</f>
        <v>6.9444444444444441E-3</v>
      </c>
      <c r="LZ52" s="1409">
        <f t="shared" ref="LZ52:LZ77" si="205">GG52/$KH52</f>
        <v>6.9444444444444441E-3</v>
      </c>
      <c r="MA52" s="1409">
        <f t="shared" ref="MA52:MA77" si="206">GH52/$KH52</f>
        <v>6.9444444444444441E-3</v>
      </c>
      <c r="MB52" s="1409">
        <f t="shared" ref="MB52:MB77" si="207">GI52/$KH52</f>
        <v>6.9444444444444441E-3</v>
      </c>
      <c r="MC52" s="1409">
        <f t="shared" ref="MC52:MC77" si="208">GJ52/$KH52</f>
        <v>6.9444444444444441E-3</v>
      </c>
      <c r="MD52" s="1409">
        <f t="shared" ref="MD52:MD77" si="209">GK52/$KH52</f>
        <v>6.9444444444444441E-3</v>
      </c>
      <c r="ME52" s="1409">
        <f t="shared" ref="ME52:ME77" si="210">GL52/$KH52</f>
        <v>6.9444444444444441E-3</v>
      </c>
      <c r="MF52" s="1409">
        <f t="shared" ref="MF52:MF77" si="211">GM52/$KH52</f>
        <v>6.9444444444444441E-3</v>
      </c>
      <c r="MG52" s="1409">
        <f t="shared" ref="MG52:MG77" si="212">GN52/$KH52</f>
        <v>6.9444444444444441E-3</v>
      </c>
      <c r="MH52" s="1409">
        <f t="shared" ref="MH52:MH77" si="213">GO52/$KH52</f>
        <v>6.9444444444444441E-3</v>
      </c>
      <c r="MI52" s="1409">
        <f t="shared" ref="MI52:MI77" si="214">GP52/$KH52</f>
        <v>6.9444444444444441E-3</v>
      </c>
      <c r="MJ52" s="1409">
        <f t="shared" ref="MJ52:MJ77" si="215">GQ52/$KH52</f>
        <v>6.9444444444444441E-3</v>
      </c>
      <c r="MK52" s="1409">
        <f t="shared" ref="MK52:MK77" si="216">GR52/$KH52</f>
        <v>6.9444444444444441E-3</v>
      </c>
      <c r="ML52" s="1409">
        <f t="shared" ref="ML52:ML77" si="217">GS52/$KH52</f>
        <v>6.9444444444444441E-3</v>
      </c>
      <c r="MM52" s="1409">
        <f t="shared" ref="MM52:MM77" si="218">GT52/$KH52</f>
        <v>6.9444444444444441E-3</v>
      </c>
      <c r="MN52" s="1409">
        <f t="shared" ref="MN52:MN77" si="219">GU52/$KH52</f>
        <v>6.9444444444444441E-3</v>
      </c>
      <c r="MO52" s="1409">
        <f t="shared" ref="MO52:MO77" si="220">GV52/$KH52</f>
        <v>6.9444444444444441E-3</v>
      </c>
      <c r="MP52" s="1409">
        <f t="shared" ref="MP52:MP77" si="221">GW52/$KH52</f>
        <v>6.9444444444444441E-3</v>
      </c>
      <c r="MQ52" s="1409">
        <f t="shared" ref="MQ52:MQ77" si="222">GX52/$KH52</f>
        <v>6.9444444444444441E-3</v>
      </c>
      <c r="MR52" s="1409">
        <f t="shared" ref="MR52:MR77" si="223">GY52/$KH52</f>
        <v>6.9444444444444441E-3</v>
      </c>
      <c r="MS52" s="1409">
        <f t="shared" ref="MS52:MS77" si="224">GZ52/$KH52</f>
        <v>6.9444444444444441E-3</v>
      </c>
      <c r="MT52" s="1409">
        <f t="shared" ref="MT52:MT77" si="225">HA52/$KH52</f>
        <v>6.9444444444444441E-3</v>
      </c>
      <c r="MU52" s="1409">
        <f t="shared" ref="MU52:MU77" si="226">HB52/$KH52</f>
        <v>6.9444444444444441E-3</v>
      </c>
      <c r="MV52" s="1409">
        <f t="shared" ref="MV52:MV77" si="227">HC52/$KH52</f>
        <v>6.9444444444444441E-3</v>
      </c>
      <c r="MW52" s="1409">
        <f t="shared" ref="MW52:MW77" si="228">HD52/$KH52</f>
        <v>6.9444444444444441E-3</v>
      </c>
      <c r="MX52" s="1409">
        <f t="shared" ref="MX52:MX77" si="229">HE52/$KH52</f>
        <v>6.9444444444444441E-3</v>
      </c>
      <c r="MY52" s="1409">
        <f t="shared" ref="MY52:MY77" si="230">HF52/$KH52</f>
        <v>6.9444444444444441E-3</v>
      </c>
      <c r="MZ52" s="1409">
        <f t="shared" ref="MZ52:MZ77" si="231">HG52/$KH52</f>
        <v>6.9444444444444441E-3</v>
      </c>
      <c r="NA52" s="1409">
        <f t="shared" ref="NA52:NA77" si="232">HH52/$KH52</f>
        <v>6.9444444444444441E-3</v>
      </c>
      <c r="NB52" s="1409">
        <f t="shared" ref="NB52:NB77" si="233">HI52/$KH52</f>
        <v>6.9444444444444441E-3</v>
      </c>
      <c r="NC52" s="1409">
        <f t="shared" ref="NC52:NC77" si="234">HJ52/$KH52</f>
        <v>6.9444444444444441E-3</v>
      </c>
      <c r="ND52" s="1409">
        <f t="shared" ref="ND52:ND77" si="235">HK52/$KH52</f>
        <v>6.9444444444444441E-3</v>
      </c>
      <c r="NE52" s="1409">
        <f t="shared" ref="NE52:NE77" si="236">HL52/$KH52</f>
        <v>6.9444444444444441E-3</v>
      </c>
      <c r="NF52" s="1409">
        <f t="shared" ref="NF52:NF77" si="237">HM52/$KH52</f>
        <v>6.9444444444444441E-3</v>
      </c>
      <c r="NG52" s="1409">
        <f t="shared" ref="NG52:NG77" si="238">HN52/$KH52</f>
        <v>6.9444444444444441E-3</v>
      </c>
      <c r="NH52" s="1409">
        <f t="shared" ref="NH52:NH77" si="239">HO52/$KH52</f>
        <v>6.9444444444444441E-3</v>
      </c>
      <c r="NI52" s="1409">
        <f t="shared" ref="NI52:NI77" si="240">HP52/$KH52</f>
        <v>6.9444444444444441E-3</v>
      </c>
      <c r="NJ52" s="1409">
        <f t="shared" ref="NJ52:NJ77" si="241">HQ52/$KH52</f>
        <v>6.9444444444444441E-3</v>
      </c>
      <c r="NK52" s="1409">
        <f t="shared" ref="NK52:NK77" si="242">HR52/$KH52</f>
        <v>6.9444444444444441E-3</v>
      </c>
      <c r="NL52" s="1409">
        <f t="shared" ref="NL52:NL77" si="243">HS52/$KH52</f>
        <v>6.9444444444444441E-3</v>
      </c>
      <c r="NM52" s="1409">
        <f t="shared" ref="NM52:NM77" si="244">HT52/$KH52</f>
        <v>6.9444444444444441E-3</v>
      </c>
      <c r="NN52" s="1409">
        <f t="shared" ref="NN52:NN77" si="245">HU52/$KH52</f>
        <v>6.9444444444444441E-3</v>
      </c>
      <c r="NO52" s="1409">
        <f t="shared" ref="NO52:NO77" si="246">HV52/$KH52</f>
        <v>6.9444444444444441E-3</v>
      </c>
      <c r="NP52" s="1409">
        <f t="shared" ref="NP52:NP77" si="247">HW52/$KH52</f>
        <v>6.9444444444444441E-3</v>
      </c>
      <c r="NQ52" s="1409">
        <f t="shared" ref="NQ52:NQ77" si="248">HX52/$KH52</f>
        <v>6.9444444444444441E-3</v>
      </c>
      <c r="NR52" s="1409">
        <f t="shared" ref="NR52:NR77" si="249">HY52/$KH52</f>
        <v>6.9444444444444441E-3</v>
      </c>
      <c r="NS52" s="1409">
        <f t="shared" ref="NS52:NS77" si="250">HZ52/$KH52</f>
        <v>6.9444444444444441E-3</v>
      </c>
      <c r="NT52" s="1409">
        <f t="shared" ref="NT52:NT77" si="251">IA52/$KH52</f>
        <v>6.9444444444444441E-3</v>
      </c>
      <c r="NU52" s="1409">
        <f t="shared" ref="NU52:NU77" si="252">IB52/$KH52</f>
        <v>6.9444444444444441E-3</v>
      </c>
      <c r="NV52" s="1409">
        <f t="shared" ref="NV52:NV77" si="253">IC52/$KH52</f>
        <v>6.9444444444444441E-3</v>
      </c>
      <c r="NW52" s="1409">
        <f t="shared" ref="NW52:NW77" si="254">ID52/$KH52</f>
        <v>6.9444444444444441E-3</v>
      </c>
      <c r="NX52" s="1409">
        <f t="shared" ref="NX52:NX77" si="255">IE52/$KH52</f>
        <v>6.9444444444444441E-3</v>
      </c>
      <c r="NY52" s="1409">
        <f t="shared" ref="NY52:NY77" si="256">IF52/$KH52</f>
        <v>6.9444444444444441E-3</v>
      </c>
      <c r="NZ52" s="1409">
        <f t="shared" ref="NZ52:NZ77" si="257">IG52/$KH52</f>
        <v>6.9444444444444441E-3</v>
      </c>
      <c r="OA52" s="1409">
        <f t="shared" ref="OA52:OA77" si="258">IH52/$KH52</f>
        <v>6.9444444444444441E-3</v>
      </c>
      <c r="OB52" s="1409">
        <f t="shared" ref="OB52:OB77" si="259">II52/$KH52</f>
        <v>6.9444444444444441E-3</v>
      </c>
      <c r="OC52" s="1409">
        <f t="shared" ref="OC52:OC77" si="260">IJ52/$KH52</f>
        <v>6.9444444444444441E-3</v>
      </c>
      <c r="OD52" s="1409">
        <f t="shared" ref="OD52:OD77" si="261">IK52/$KH52</f>
        <v>6.9444444444444441E-3</v>
      </c>
      <c r="OE52" s="1409">
        <f t="shared" ref="OE52:OE77" si="262">IL52/$KH52</f>
        <v>6.9444444444444441E-3</v>
      </c>
      <c r="OF52" s="1409">
        <f t="shared" ref="OF52:OF77" si="263">IM52/$KH52</f>
        <v>6.9444444444444441E-3</v>
      </c>
      <c r="OG52" s="1409">
        <f t="shared" ref="OG52:OG77" si="264">IN52/$KH52</f>
        <v>6.9444444444444441E-3</v>
      </c>
      <c r="OH52" s="1409">
        <f t="shared" ref="OH52:OH77" si="265">IO52/$KH52</f>
        <v>6.9444444444444441E-3</v>
      </c>
      <c r="OI52" s="1409">
        <f t="shared" ref="OI52:OI77" si="266">IP52/$KH52</f>
        <v>6.9444444444444441E-3</v>
      </c>
      <c r="OJ52" s="1409">
        <f t="shared" ref="OJ52:OJ77" si="267">IQ52/$KH52</f>
        <v>6.9444444444444441E-3</v>
      </c>
      <c r="OK52" s="1409">
        <f t="shared" ref="OK52:OK77" si="268">IR52/$KH52</f>
        <v>6.9444444444444441E-3</v>
      </c>
      <c r="OL52" s="1409">
        <f t="shared" ref="OL52:OL77" si="269">IS52/$KH52</f>
        <v>6.9444444444444441E-3</v>
      </c>
      <c r="OM52" s="1409">
        <f t="shared" ref="OM52:OM77" si="270">IT52/$KH52</f>
        <v>6.9444444444444441E-3</v>
      </c>
      <c r="ON52" s="1409">
        <f t="shared" ref="ON52:ON77" si="271">IU52/$KH52</f>
        <v>6.9444444444444441E-3</v>
      </c>
      <c r="OO52" s="1409">
        <f t="shared" ref="OO52:OO77" si="272">IV52/$KH52</f>
        <v>6.9444444444444441E-3</v>
      </c>
      <c r="OP52" s="1409">
        <f t="shared" ref="OP52:OP77" si="273">IW52/$KH52</f>
        <v>6.9444444444444441E-3</v>
      </c>
      <c r="OQ52" s="1409">
        <f t="shared" ref="OQ52:OQ77" si="274">IX52/$KH52</f>
        <v>6.9444444444444441E-3</v>
      </c>
      <c r="OR52" s="1409">
        <f t="shared" ref="OR52:OR77" si="275">IY52/$KH52</f>
        <v>6.9444444444444441E-3</v>
      </c>
      <c r="OS52" s="1409">
        <f t="shared" ref="OS52:OS77" si="276">IZ52/$KH52</f>
        <v>6.9444444444444441E-3</v>
      </c>
      <c r="OT52" s="1409">
        <f t="shared" ref="OT52:OT77" si="277">JA52/$KH52</f>
        <v>6.9444444444444441E-3</v>
      </c>
      <c r="OU52" s="1409">
        <f t="shared" ref="OU52:OU77" si="278">JB52/$KH52</f>
        <v>6.9444444444444441E-3</v>
      </c>
      <c r="OV52" s="1409">
        <f t="shared" ref="OV52:OV77" si="279">JC52/$KH52</f>
        <v>6.9444444444444441E-3</v>
      </c>
      <c r="OW52" s="1409">
        <f t="shared" ref="OW52:OW77" si="280">JD52/$KH52</f>
        <v>6.9444444444444441E-3</v>
      </c>
      <c r="OX52" s="1409">
        <f t="shared" ref="OX52:OX77" si="281">JE52/$KH52</f>
        <v>6.9444444444444441E-3</v>
      </c>
      <c r="OY52" s="1409">
        <f t="shared" ref="OY52:OY77" si="282">JF52/$KH52</f>
        <v>6.9444444444444441E-3</v>
      </c>
      <c r="OZ52" s="1409">
        <f t="shared" ref="OZ52:OZ77" si="283">JG52/$KH52</f>
        <v>6.9444444444444441E-3</v>
      </c>
      <c r="PA52" s="1409">
        <f t="shared" ref="PA52:PA77" si="284">JH52/$KH52</f>
        <v>6.9444444444444441E-3</v>
      </c>
      <c r="PB52" s="1409">
        <f t="shared" ref="PB52:PB77" si="285">JI52/$KH52</f>
        <v>6.9444444444444441E-3</v>
      </c>
      <c r="PC52" s="1409">
        <f t="shared" ref="PC52:PC77" si="286">JJ52/$KH52</f>
        <v>6.9444444444444441E-3</v>
      </c>
      <c r="PD52" s="1409">
        <f t="shared" ref="PD52:PD77" si="287">JK52/$KH52</f>
        <v>6.9444444444444441E-3</v>
      </c>
      <c r="PE52" s="1409">
        <f t="shared" ref="PE52:PE77" si="288">JL52/$KH52</f>
        <v>6.9444444444444441E-3</v>
      </c>
      <c r="PF52" s="1409">
        <f t="shared" ref="PF52:PF77" si="289">JM52/$KH52</f>
        <v>6.9444444444444441E-3</v>
      </c>
      <c r="PG52" s="1409">
        <f t="shared" ref="PG52:PG77" si="290">JN52/$KH52</f>
        <v>6.9444444444444441E-3</v>
      </c>
      <c r="PH52" s="1409">
        <f t="shared" ref="PH52:PH77" si="291">JO52/$KH52</f>
        <v>6.9444444444444441E-3</v>
      </c>
      <c r="PI52" s="1409">
        <f t="shared" ref="PI52:PI77" si="292">JP52/$KH52</f>
        <v>6.9444444444444441E-3</v>
      </c>
      <c r="PJ52" s="1409">
        <f t="shared" ref="PJ52:PJ77" si="293">JQ52/$KH52</f>
        <v>6.9444444444444441E-3</v>
      </c>
      <c r="PK52" s="1409">
        <f t="shared" ref="PK52:PK77" si="294">JR52/$KH52</f>
        <v>6.9444444444444441E-3</v>
      </c>
      <c r="PL52" s="1409">
        <f t="shared" ref="PL52:PL77" si="295">JS52/$KH52</f>
        <v>6.9444444444444441E-3</v>
      </c>
      <c r="PM52" s="1409">
        <f t="shared" ref="PM52:PM77" si="296">JT52/$KH52</f>
        <v>6.9444444444444441E-3</v>
      </c>
      <c r="PN52" s="1409">
        <f t="shared" ref="PN52:PN77" si="297">JU52/$KH52</f>
        <v>6.9444444444444441E-3</v>
      </c>
      <c r="PO52" s="1409">
        <f t="shared" ref="PO52:PO77" si="298">JV52/$KH52</f>
        <v>6.9444444444444441E-3</v>
      </c>
      <c r="PP52" s="1409">
        <f t="shared" ref="PP52:PP77" si="299">JW52/$KH52</f>
        <v>6.9444444444444441E-3</v>
      </c>
      <c r="PQ52" s="1409">
        <f t="shared" ref="PQ52:PQ77" si="300">JX52/$KH52</f>
        <v>6.9444444444444441E-3</v>
      </c>
      <c r="PR52" s="1409">
        <f t="shared" ref="PR52:PR77" si="301">JY52/$KH52</f>
        <v>6.9444444444444441E-3</v>
      </c>
      <c r="PS52" s="1409">
        <f t="shared" ref="PS52:PS77" si="302">JZ52/$KH52</f>
        <v>6.9444444444444441E-3</v>
      </c>
      <c r="PT52" s="1409">
        <f t="shared" ref="PT52:PT77" si="303">KA52/$KH52</f>
        <v>6.9444444444444441E-3</v>
      </c>
      <c r="PU52" s="1409">
        <f t="shared" ref="PU52:PU77" si="304">KB52/$KH52</f>
        <v>6.9444444444444441E-3</v>
      </c>
      <c r="PV52" s="1409">
        <f t="shared" ref="PV52:PV77" si="305">KC52/$KH52</f>
        <v>6.9444444444444441E-3</v>
      </c>
      <c r="PW52" s="1409">
        <f t="shared" ref="PW52:PW77" si="306">KD52/$KH52</f>
        <v>6.9444444444444441E-3</v>
      </c>
      <c r="PX52" s="1409">
        <f t="shared" ref="PX52:PX77" si="307">KE52/$KH52</f>
        <v>6.9444444444444441E-3</v>
      </c>
      <c r="PY52" s="1409">
        <f t="shared" ref="PY52:PY77" si="308">KF52/$KH52</f>
        <v>6.9444444444444441E-3</v>
      </c>
      <c r="PZ52" s="1410">
        <f t="shared" ref="PZ52:PZ77" si="309">KG52/$KH52</f>
        <v>6.9444444444444441E-3</v>
      </c>
      <c r="QB52" s="33" t="s">
        <v>1072</v>
      </c>
      <c r="QC52" s="1432">
        <f>SUM(KM52:MH52)</f>
        <v>0.33333333333333309</v>
      </c>
      <c r="QD52" s="744">
        <f>SUM(MI52:OD52)</f>
        <v>0.33333333333333309</v>
      </c>
      <c r="QE52" s="1068">
        <f>SUM(OE52:PZ52)</f>
        <v>0.33333333333333309</v>
      </c>
      <c r="QF52" s="744">
        <f>SUM(KM52:LB52,MI52:MX52,OE52:OT52)</f>
        <v>0.33333333333333309</v>
      </c>
      <c r="QG52" s="744">
        <f>SUM(LC52:LR52,MY52:NN52,OU52:PJ52)</f>
        <v>0.33333333333333309</v>
      </c>
      <c r="QH52" s="1068">
        <f>SUM(LS52:MH52,NO52:OD52,PK52:PZ52)</f>
        <v>0.33333333333333309</v>
      </c>
      <c r="QI52" s="744">
        <f>SUMPRODUCT(KM52:PZ52,$KM$27:$PZ$27)</f>
        <v>0.49999999999999917</v>
      </c>
      <c r="QJ52" s="1068">
        <f>SUMPRODUCT(KM52:PZ52,$KM$22:$PZ$22)</f>
        <v>0.49999999999999917</v>
      </c>
      <c r="QK52" s="744">
        <f>SUMPRODUCT(KM52:PZ52,$KM$26:$PZ$26)</f>
        <v>0.49999999999999917</v>
      </c>
      <c r="QL52" s="1068">
        <f>SUMPRODUCT(KM52:PZ52,$KM$21:$PZ$21)</f>
        <v>0.49999999999999917</v>
      </c>
      <c r="QM52" s="744">
        <f>SUMPRODUCT(KM52:PZ52,$KM$25:$PZ$25)</f>
        <v>0.49999999999999917</v>
      </c>
      <c r="QN52" s="1068">
        <f>SUMPRODUCT(KM52:PZ52,$KM$20:$PZ$20)</f>
        <v>0.49999999999999917</v>
      </c>
      <c r="QO52" s="744">
        <f>SUMPRODUCT(KM52:PZ52,$KM$24:$PZ$24)</f>
        <v>0.49999999999999917</v>
      </c>
      <c r="QP52" s="1068">
        <f>SUMPRODUCT(KM52:PZ52,$KM$19:$PZ$19)</f>
        <v>0.49999999999999917</v>
      </c>
      <c r="QR52" s="1437">
        <f>SUM(KM52:LB52)</f>
        <v>0.11111111111111115</v>
      </c>
      <c r="QS52" s="744">
        <f>SUM(LC52:LR52)</f>
        <v>0.11111111111111115</v>
      </c>
      <c r="QT52" s="1068">
        <f>SUM(LS52:MH52)</f>
        <v>0.11111111111111115</v>
      </c>
      <c r="QU52" s="743">
        <f>SUM(MI52:MX52)</f>
        <v>0.11111111111111115</v>
      </c>
      <c r="QV52" s="744">
        <f>SUM(MY52:NN52)</f>
        <v>0.11111111111111115</v>
      </c>
      <c r="QW52" s="1068">
        <f>SUM(NO52:OD52)</f>
        <v>0.11111111111111115</v>
      </c>
      <c r="QX52" s="743">
        <f>SUM(OE52:OT52)</f>
        <v>0.11111111111111115</v>
      </c>
      <c r="QY52" s="744">
        <f>SUM(OU52:PJ52)</f>
        <v>0.11111111111111115</v>
      </c>
      <c r="QZ52" s="745">
        <f>SUM(PK52:PZ52)</f>
        <v>0.11111111111111115</v>
      </c>
      <c r="RC52" s="744">
        <f>SUM(KU52:LB52)</f>
        <v>5.5555555555555566E-2</v>
      </c>
      <c r="RD52" s="744">
        <f>SUM(LK52:LR52)</f>
        <v>5.5555555555555566E-2</v>
      </c>
      <c r="RE52" s="744">
        <f>SUM(MA52:MH52)</f>
        <v>5.5555555555555566E-2</v>
      </c>
      <c r="RF52" s="744">
        <f>SUM(MQ52:MX52)</f>
        <v>5.5555555555555566E-2</v>
      </c>
      <c r="RG52" s="744">
        <f>SUM(NG52:NN52)</f>
        <v>5.5555555555555566E-2</v>
      </c>
      <c r="RH52" s="744">
        <f>SUM(NW52:OD52)</f>
        <v>5.5555555555555566E-2</v>
      </c>
      <c r="RI52" s="744">
        <f>SUM(OM52:OT52)</f>
        <v>5.5555555555555566E-2</v>
      </c>
      <c r="RJ52" s="744">
        <f>SUM(PC52:PJ52)</f>
        <v>5.5555555555555566E-2</v>
      </c>
      <c r="RK52" s="744">
        <f>SUM(PS52:PZ52)</f>
        <v>5.5555555555555566E-2</v>
      </c>
      <c r="RL52" s="1251"/>
      <c r="RM52" s="744">
        <f>SUMPRODUCT(KM52:LB52,$KM$21:$LB$21)</f>
        <v>5.5555555555555566E-2</v>
      </c>
      <c r="RN52" s="744">
        <f>SUMPRODUCT(LC52:LR52,$KM$21:$LB$21)</f>
        <v>5.5555555555555566E-2</v>
      </c>
      <c r="RO52" s="744">
        <f>SUMPRODUCT(LS52:MH52,$KM$21:$LB$21)</f>
        <v>5.5555555555555566E-2</v>
      </c>
      <c r="RP52" s="744">
        <f>SUMPRODUCT(MI52:MX52,$KM$21:$LB$21)</f>
        <v>5.5555555555555566E-2</v>
      </c>
      <c r="RQ52" s="744">
        <f>SUMPRODUCT(MY52:NN52,$KM$21:$LB$21)</f>
        <v>5.5555555555555566E-2</v>
      </c>
      <c r="RR52" s="744">
        <f>SUMPRODUCT(NO52:OD52,$KM$21:$LB$21)</f>
        <v>5.5555555555555566E-2</v>
      </c>
      <c r="RS52" s="744">
        <f>SUMPRODUCT(OE52:OT52,$KM$21:$LB$21)</f>
        <v>5.5555555555555566E-2</v>
      </c>
      <c r="RT52" s="744">
        <f>SUMPRODUCT(OU52:PJ52,$KM$21:$LB$21)</f>
        <v>5.5555555555555566E-2</v>
      </c>
      <c r="RU52" s="744">
        <f>SUMPRODUCT(PK52:PZ52,$KM$21:$LB$21)</f>
        <v>5.5555555555555566E-2</v>
      </c>
      <c r="RV52" s="744"/>
      <c r="RW52" s="744">
        <f>SUMPRODUCT(KM52:LB52,$KM$20:$LB$20)</f>
        <v>5.5555555555555566E-2</v>
      </c>
      <c r="RX52" s="744">
        <f>SUMPRODUCT(LC52:LR52,$KM$20:$LB$20)</f>
        <v>5.5555555555555566E-2</v>
      </c>
      <c r="RY52" s="744">
        <f>SUMPRODUCT(LS52:MH52,$KM$20:$LB$20)</f>
        <v>5.5555555555555566E-2</v>
      </c>
      <c r="RZ52" s="744">
        <f>SUMPRODUCT(MI52:MX52,$KM$20:$LB$20)</f>
        <v>5.5555555555555566E-2</v>
      </c>
      <c r="SA52" s="744">
        <f>SUMPRODUCT(MY52:NN52,$KM$20:$LB$20)</f>
        <v>5.5555555555555566E-2</v>
      </c>
      <c r="SB52" s="744">
        <f>SUMPRODUCT(NO52:OD52,$KM$20:$LB$20)</f>
        <v>5.5555555555555566E-2</v>
      </c>
      <c r="SC52" s="744">
        <f>SUMPRODUCT(OE52:OT52,$KM$20:$LB$20)</f>
        <v>5.5555555555555566E-2</v>
      </c>
      <c r="SD52" s="744">
        <f>SUMPRODUCT(OU52:PJ52,$KM$20:$LB$20)</f>
        <v>5.5555555555555566E-2</v>
      </c>
      <c r="SE52" s="744">
        <f>SUMPRODUCT(PK52:PZ52,$KM$20:$LB$20)</f>
        <v>5.5555555555555566E-2</v>
      </c>
      <c r="SF52" s="744"/>
      <c r="SG52" s="744">
        <f>SUMPRODUCT(KM52:LB52,$KM$19:$LB$19)</f>
        <v>5.5555555555555566E-2</v>
      </c>
      <c r="SH52" s="744">
        <f>SUMPRODUCT(LC52:LR52,$KM$19:$LB$19)</f>
        <v>5.5555555555555566E-2</v>
      </c>
      <c r="SI52" s="744">
        <f>SUMPRODUCT(LS52:MH52,$KM$19:$LB$19)</f>
        <v>5.5555555555555566E-2</v>
      </c>
      <c r="SJ52" s="744">
        <f>SUMPRODUCT(MI52:MX52,$KM$19:$LB$19)</f>
        <v>5.5555555555555566E-2</v>
      </c>
      <c r="SK52" s="744">
        <f>SUMPRODUCT(MY52:NN52,$KM$19:$LB$19)</f>
        <v>5.5555555555555566E-2</v>
      </c>
      <c r="SL52" s="744">
        <f>SUMPRODUCT(NO52:OD52,$KM$19:$LB$19)</f>
        <v>5.5555555555555566E-2</v>
      </c>
      <c r="SM52" s="744">
        <f>SUMPRODUCT(OE52:OT52,$KM$19:$LB$19)</f>
        <v>5.5555555555555566E-2</v>
      </c>
      <c r="SN52" s="744">
        <f>SUMPRODUCT(OU52:PJ52,$KM$19:$LB$19)</f>
        <v>5.5555555555555566E-2</v>
      </c>
      <c r="SO52" s="744">
        <f>SUMPRODUCT(PK52:PZ52,$KM$19:$LB$19)</f>
        <v>5.5555555555555566E-2</v>
      </c>
      <c r="SP52" s="100"/>
      <c r="SQ52" s="114"/>
      <c r="SR52" s="806">
        <f>RC52/QR52</f>
        <v>0.49999999999999994</v>
      </c>
      <c r="SS52" s="806">
        <f t="shared" ref="SS52:SZ52" si="310">RD52/QS52</f>
        <v>0.49999999999999994</v>
      </c>
      <c r="ST52" s="806">
        <f t="shared" si="310"/>
        <v>0.49999999999999994</v>
      </c>
      <c r="SU52" s="806">
        <f t="shared" si="310"/>
        <v>0.49999999999999994</v>
      </c>
      <c r="SV52" s="806">
        <f t="shared" si="310"/>
        <v>0.49999999999999994</v>
      </c>
      <c r="SW52" s="806">
        <f t="shared" si="310"/>
        <v>0.49999999999999994</v>
      </c>
      <c r="SX52" s="806">
        <f t="shared" si="310"/>
        <v>0.49999999999999994</v>
      </c>
      <c r="SY52" s="806">
        <f t="shared" si="310"/>
        <v>0.49999999999999994</v>
      </c>
      <c r="SZ52" s="806">
        <f t="shared" si="310"/>
        <v>0.49999999999999994</v>
      </c>
      <c r="TA52" s="806"/>
      <c r="TB52" s="806">
        <f>RM52/QR52</f>
        <v>0.49999999999999994</v>
      </c>
      <c r="TC52" s="806">
        <f t="shared" ref="TC52:TJ52" si="311">RN52/QS52</f>
        <v>0.49999999999999994</v>
      </c>
      <c r="TD52" s="806">
        <f t="shared" si="311"/>
        <v>0.49999999999999994</v>
      </c>
      <c r="TE52" s="806">
        <f t="shared" si="311"/>
        <v>0.49999999999999994</v>
      </c>
      <c r="TF52" s="806">
        <f t="shared" si="311"/>
        <v>0.49999999999999994</v>
      </c>
      <c r="TG52" s="806">
        <f t="shared" si="311"/>
        <v>0.49999999999999994</v>
      </c>
      <c r="TH52" s="806">
        <f t="shared" si="311"/>
        <v>0.49999999999999994</v>
      </c>
      <c r="TI52" s="806">
        <f t="shared" si="311"/>
        <v>0.49999999999999994</v>
      </c>
      <c r="TJ52" s="806">
        <f t="shared" si="311"/>
        <v>0.49999999999999994</v>
      </c>
      <c r="TK52" s="806"/>
      <c r="TL52" s="806">
        <f>RW52/QR52</f>
        <v>0.49999999999999994</v>
      </c>
      <c r="TM52" s="806">
        <f t="shared" ref="TM52:TT52" si="312">RX52/QS52</f>
        <v>0.49999999999999994</v>
      </c>
      <c r="TN52" s="806">
        <f t="shared" si="312"/>
        <v>0.49999999999999994</v>
      </c>
      <c r="TO52" s="806">
        <f t="shared" si="312"/>
        <v>0.49999999999999994</v>
      </c>
      <c r="TP52" s="806">
        <f t="shared" si="312"/>
        <v>0.49999999999999994</v>
      </c>
      <c r="TQ52" s="806">
        <f t="shared" si="312"/>
        <v>0.49999999999999994</v>
      </c>
      <c r="TR52" s="806">
        <f t="shared" si="312"/>
        <v>0.49999999999999994</v>
      </c>
      <c r="TS52" s="806">
        <f t="shared" si="312"/>
        <v>0.49999999999999994</v>
      </c>
      <c r="TT52" s="806">
        <f t="shared" si="312"/>
        <v>0.49999999999999994</v>
      </c>
      <c r="TU52" s="806"/>
      <c r="TV52" s="806">
        <f>SG52/QR52</f>
        <v>0.49999999999999994</v>
      </c>
      <c r="TW52" s="806">
        <f t="shared" ref="TW52:TW59" si="313">SH52/QS52</f>
        <v>0.49999999999999994</v>
      </c>
      <c r="TX52" s="806">
        <f t="shared" ref="TX52:TX59" si="314">SI52/QT52</f>
        <v>0.49999999999999994</v>
      </c>
      <c r="TY52" s="806">
        <f t="shared" ref="TY52:TY59" si="315">SJ52/QU52</f>
        <v>0.49999999999999994</v>
      </c>
      <c r="TZ52" s="806">
        <f t="shared" ref="TZ52:TZ59" si="316">SK52/QV52</f>
        <v>0.49999999999999994</v>
      </c>
      <c r="UA52" s="806">
        <f t="shared" ref="UA52:UA59" si="317">SL52/QW52</f>
        <v>0.49999999999999994</v>
      </c>
      <c r="UB52" s="806">
        <f t="shared" ref="UB52:UB59" si="318">SM52/QX52</f>
        <v>0.49999999999999994</v>
      </c>
      <c r="UC52" s="806">
        <f t="shared" ref="UC52:UC59" si="319">SN52/QY52</f>
        <v>0.49999999999999994</v>
      </c>
      <c r="UD52" s="1439">
        <f t="shared" ref="UD52:UD59" si="320">SO52/QZ52</f>
        <v>0.49999999999999994</v>
      </c>
    </row>
    <row r="53" spans="3:551" s="7" customFormat="1" x14ac:dyDescent="0.25">
      <c r="D53" s="1308">
        <v>44028</v>
      </c>
      <c r="E53" s="233">
        <f t="shared" ref="E53:N62" ca="1" si="321">RANDBETWEEN(5,80)</f>
        <v>34</v>
      </c>
      <c r="F53" s="1392">
        <f t="shared" ca="1" si="321"/>
        <v>76</v>
      </c>
      <c r="G53" s="1392">
        <f t="shared" ca="1" si="321"/>
        <v>5</v>
      </c>
      <c r="H53" s="1392">
        <f t="shared" ca="1" si="321"/>
        <v>40</v>
      </c>
      <c r="I53" s="1392">
        <f t="shared" ca="1" si="321"/>
        <v>49</v>
      </c>
      <c r="J53" s="1392">
        <f t="shared" ca="1" si="321"/>
        <v>18</v>
      </c>
      <c r="K53" s="1392">
        <f t="shared" ca="1" si="321"/>
        <v>62</v>
      </c>
      <c r="L53" s="1392">
        <f t="shared" ca="1" si="321"/>
        <v>19</v>
      </c>
      <c r="M53" s="1392">
        <f t="shared" ca="1" si="321"/>
        <v>22</v>
      </c>
      <c r="N53" s="1392">
        <f t="shared" ca="1" si="321"/>
        <v>42</v>
      </c>
      <c r="O53" s="1392">
        <f t="shared" ref="O53:X62" ca="1" si="322">RANDBETWEEN(5,80)</f>
        <v>46</v>
      </c>
      <c r="P53" s="1392">
        <f t="shared" ca="1" si="322"/>
        <v>71</v>
      </c>
      <c r="Q53" s="1392">
        <f t="shared" ca="1" si="322"/>
        <v>41</v>
      </c>
      <c r="R53" s="1392">
        <f t="shared" ca="1" si="322"/>
        <v>48</v>
      </c>
      <c r="S53" s="1392">
        <f t="shared" ca="1" si="322"/>
        <v>31</v>
      </c>
      <c r="T53" s="1392">
        <f t="shared" ca="1" si="322"/>
        <v>43</v>
      </c>
      <c r="U53" s="1392">
        <f t="shared" ca="1" si="322"/>
        <v>43</v>
      </c>
      <c r="V53" s="1392">
        <f t="shared" ca="1" si="322"/>
        <v>31</v>
      </c>
      <c r="W53" s="1392">
        <f t="shared" ca="1" si="322"/>
        <v>24</v>
      </c>
      <c r="X53" s="1392">
        <f t="shared" ca="1" si="322"/>
        <v>71</v>
      </c>
      <c r="Y53" s="1392">
        <f t="shared" ref="Y53:AH62" ca="1" si="323">RANDBETWEEN(5,80)</f>
        <v>15</v>
      </c>
      <c r="Z53" s="1392">
        <f t="shared" ca="1" si="323"/>
        <v>15</v>
      </c>
      <c r="AA53" s="1392">
        <f t="shared" ca="1" si="323"/>
        <v>21</v>
      </c>
      <c r="AB53" s="1392">
        <f t="shared" ca="1" si="323"/>
        <v>46</v>
      </c>
      <c r="AC53" s="1392">
        <f t="shared" ca="1" si="323"/>
        <v>60</v>
      </c>
      <c r="AD53" s="1392">
        <f t="shared" ca="1" si="323"/>
        <v>38</v>
      </c>
      <c r="AE53" s="1392">
        <f t="shared" ca="1" si="323"/>
        <v>17</v>
      </c>
      <c r="AF53" s="1392">
        <f t="shared" ca="1" si="323"/>
        <v>26</v>
      </c>
      <c r="AG53" s="1392">
        <f t="shared" ca="1" si="323"/>
        <v>23</v>
      </c>
      <c r="AH53" s="1392">
        <f t="shared" ca="1" si="323"/>
        <v>65</v>
      </c>
      <c r="AI53" s="1392">
        <f t="shared" ref="AI53:AR62" ca="1" si="324">RANDBETWEEN(5,80)</f>
        <v>18</v>
      </c>
      <c r="AJ53" s="1392">
        <f t="shared" ca="1" si="324"/>
        <v>24</v>
      </c>
      <c r="AK53" s="1392">
        <f t="shared" ca="1" si="324"/>
        <v>22</v>
      </c>
      <c r="AL53" s="1392">
        <f t="shared" ca="1" si="324"/>
        <v>41</v>
      </c>
      <c r="AM53" s="1392">
        <f t="shared" ca="1" si="324"/>
        <v>58</v>
      </c>
      <c r="AN53" s="1392">
        <f t="shared" ca="1" si="324"/>
        <v>61</v>
      </c>
      <c r="AO53" s="1392">
        <f t="shared" ca="1" si="324"/>
        <v>72</v>
      </c>
      <c r="AP53" s="1392">
        <f t="shared" ca="1" si="324"/>
        <v>77</v>
      </c>
      <c r="AQ53" s="1392">
        <f t="shared" ca="1" si="324"/>
        <v>26</v>
      </c>
      <c r="AR53" s="1392">
        <f t="shared" ca="1" si="324"/>
        <v>19</v>
      </c>
      <c r="AS53" s="1392">
        <f t="shared" ref="AS53:BB62" ca="1" si="325">RANDBETWEEN(5,80)</f>
        <v>38</v>
      </c>
      <c r="AT53" s="1392">
        <f t="shared" ca="1" si="325"/>
        <v>8</v>
      </c>
      <c r="AU53" s="1392">
        <f t="shared" ca="1" si="325"/>
        <v>45</v>
      </c>
      <c r="AV53" s="1392">
        <f t="shared" ca="1" si="325"/>
        <v>59</v>
      </c>
      <c r="AW53" s="1392">
        <f t="shared" ca="1" si="325"/>
        <v>36</v>
      </c>
      <c r="AX53" s="1392">
        <f t="shared" ca="1" si="325"/>
        <v>37</v>
      </c>
      <c r="AY53" s="1392">
        <f t="shared" ca="1" si="325"/>
        <v>59</v>
      </c>
      <c r="AZ53" s="1392">
        <f t="shared" ca="1" si="325"/>
        <v>54</v>
      </c>
      <c r="BA53" s="1392">
        <f t="shared" ca="1" si="325"/>
        <v>47</v>
      </c>
      <c r="BB53" s="1392">
        <f t="shared" ca="1" si="325"/>
        <v>7</v>
      </c>
      <c r="BC53" s="1392">
        <f t="shared" ref="BC53:BL62" ca="1" si="326">RANDBETWEEN(5,80)</f>
        <v>14</v>
      </c>
      <c r="BD53" s="1392">
        <f t="shared" ca="1" si="326"/>
        <v>8</v>
      </c>
      <c r="BE53" s="1392">
        <f t="shared" ca="1" si="326"/>
        <v>19</v>
      </c>
      <c r="BF53" s="1392">
        <f t="shared" ca="1" si="326"/>
        <v>41</v>
      </c>
      <c r="BG53" s="1392">
        <f t="shared" ca="1" si="326"/>
        <v>12</v>
      </c>
      <c r="BH53" s="1392">
        <f t="shared" ca="1" si="326"/>
        <v>51</v>
      </c>
      <c r="BI53" s="1392">
        <f t="shared" ca="1" si="326"/>
        <v>10</v>
      </c>
      <c r="BJ53" s="1392">
        <f t="shared" ca="1" si="326"/>
        <v>35</v>
      </c>
      <c r="BK53" s="1392">
        <f t="shared" ca="1" si="326"/>
        <v>7</v>
      </c>
      <c r="BL53" s="1392">
        <f t="shared" ca="1" si="326"/>
        <v>28</v>
      </c>
      <c r="BM53" s="1392">
        <f t="shared" ref="BM53:BV62" ca="1" si="327">RANDBETWEEN(5,80)</f>
        <v>78</v>
      </c>
      <c r="BN53" s="1392">
        <f t="shared" ca="1" si="327"/>
        <v>30</v>
      </c>
      <c r="BO53" s="1392">
        <f t="shared" ca="1" si="327"/>
        <v>15</v>
      </c>
      <c r="BP53" s="1392">
        <f t="shared" ca="1" si="327"/>
        <v>39</v>
      </c>
      <c r="BQ53" s="1392">
        <f t="shared" ca="1" si="327"/>
        <v>17</v>
      </c>
      <c r="BR53" s="1392">
        <f t="shared" ca="1" si="327"/>
        <v>36</v>
      </c>
      <c r="BS53" s="1392">
        <f t="shared" ca="1" si="327"/>
        <v>20</v>
      </c>
      <c r="BT53" s="1392">
        <f t="shared" ca="1" si="327"/>
        <v>26</v>
      </c>
      <c r="BU53" s="1392">
        <f t="shared" ca="1" si="327"/>
        <v>34</v>
      </c>
      <c r="BV53" s="1392">
        <f t="shared" ca="1" si="327"/>
        <v>15</v>
      </c>
      <c r="BW53" s="1392">
        <f t="shared" ref="BW53:CF62" ca="1" si="328">RANDBETWEEN(5,80)</f>
        <v>9</v>
      </c>
      <c r="BX53" s="1392">
        <f t="shared" ca="1" si="328"/>
        <v>75</v>
      </c>
      <c r="BY53" s="1392">
        <f t="shared" ca="1" si="328"/>
        <v>48</v>
      </c>
      <c r="BZ53" s="1392">
        <f t="shared" ca="1" si="328"/>
        <v>20</v>
      </c>
      <c r="CA53" s="1392">
        <f t="shared" ca="1" si="328"/>
        <v>16</v>
      </c>
      <c r="CB53" s="1392">
        <f t="shared" ca="1" si="328"/>
        <v>58</v>
      </c>
      <c r="CC53" s="1392">
        <f t="shared" ca="1" si="328"/>
        <v>20</v>
      </c>
      <c r="CD53" s="1392">
        <f t="shared" ca="1" si="328"/>
        <v>66</v>
      </c>
      <c r="CE53" s="1392">
        <f t="shared" ca="1" si="328"/>
        <v>25</v>
      </c>
      <c r="CF53" s="1392">
        <f t="shared" ca="1" si="328"/>
        <v>38</v>
      </c>
      <c r="CG53" s="1392">
        <f t="shared" ref="CG53:CP62" ca="1" si="329">RANDBETWEEN(5,80)</f>
        <v>27</v>
      </c>
      <c r="CH53" s="1392">
        <f t="shared" ca="1" si="329"/>
        <v>37</v>
      </c>
      <c r="CI53" s="1392">
        <f t="shared" ca="1" si="329"/>
        <v>65</v>
      </c>
      <c r="CJ53" s="1392">
        <f t="shared" ca="1" si="329"/>
        <v>51</v>
      </c>
      <c r="CK53" s="1392">
        <f t="shared" ca="1" si="329"/>
        <v>46</v>
      </c>
      <c r="CL53" s="1392">
        <f t="shared" ca="1" si="329"/>
        <v>23</v>
      </c>
      <c r="CM53" s="1392">
        <f t="shared" ca="1" si="329"/>
        <v>43</v>
      </c>
      <c r="CN53" s="1392">
        <f t="shared" ca="1" si="329"/>
        <v>13</v>
      </c>
      <c r="CO53" s="1392">
        <f t="shared" ca="1" si="329"/>
        <v>58</v>
      </c>
      <c r="CP53" s="1392">
        <f t="shared" ca="1" si="329"/>
        <v>15</v>
      </c>
      <c r="CQ53" s="1392">
        <f t="shared" ref="CQ53:CZ62" ca="1" si="330">RANDBETWEEN(5,80)</f>
        <v>10</v>
      </c>
      <c r="CR53" s="1392">
        <f t="shared" ca="1" si="330"/>
        <v>52</v>
      </c>
      <c r="CS53" s="1392">
        <f t="shared" ca="1" si="330"/>
        <v>50</v>
      </c>
      <c r="CT53" s="1392">
        <f t="shared" ca="1" si="330"/>
        <v>34</v>
      </c>
      <c r="CU53" s="1392">
        <f t="shared" ca="1" si="330"/>
        <v>30</v>
      </c>
      <c r="CV53" s="1392">
        <f t="shared" ca="1" si="330"/>
        <v>51</v>
      </c>
      <c r="CW53" s="1392">
        <f t="shared" ca="1" si="330"/>
        <v>26</v>
      </c>
      <c r="CX53" s="1392">
        <f t="shared" ca="1" si="330"/>
        <v>32</v>
      </c>
      <c r="CY53" s="1392">
        <f t="shared" ca="1" si="330"/>
        <v>44</v>
      </c>
      <c r="CZ53" s="1392">
        <f t="shared" ca="1" si="330"/>
        <v>40</v>
      </c>
      <c r="DA53" s="1392">
        <f t="shared" ref="DA53:DJ62" ca="1" si="331">RANDBETWEEN(5,80)</f>
        <v>56</v>
      </c>
      <c r="DB53" s="1392">
        <f t="shared" ca="1" si="331"/>
        <v>54</v>
      </c>
      <c r="DC53" s="1392">
        <f t="shared" ca="1" si="331"/>
        <v>13</v>
      </c>
      <c r="DD53" s="1392">
        <f t="shared" ca="1" si="331"/>
        <v>73</v>
      </c>
      <c r="DE53" s="1392">
        <f t="shared" ca="1" si="331"/>
        <v>7</v>
      </c>
      <c r="DF53" s="1392">
        <f t="shared" ca="1" si="331"/>
        <v>49</v>
      </c>
      <c r="DG53" s="1392">
        <f t="shared" ca="1" si="331"/>
        <v>16</v>
      </c>
      <c r="DH53" s="1392">
        <f t="shared" ca="1" si="331"/>
        <v>40</v>
      </c>
      <c r="DI53" s="1392">
        <f t="shared" ca="1" si="331"/>
        <v>55</v>
      </c>
      <c r="DJ53" s="1392">
        <f t="shared" ca="1" si="331"/>
        <v>5</v>
      </c>
      <c r="DK53" s="1392">
        <f t="shared" ref="DK53:DT62" ca="1" si="332">RANDBETWEEN(5,80)</f>
        <v>38</v>
      </c>
      <c r="DL53" s="1392">
        <f t="shared" ca="1" si="332"/>
        <v>63</v>
      </c>
      <c r="DM53" s="1392">
        <f t="shared" ca="1" si="332"/>
        <v>48</v>
      </c>
      <c r="DN53" s="1392">
        <f t="shared" ca="1" si="332"/>
        <v>54</v>
      </c>
      <c r="DO53" s="1392">
        <f t="shared" ca="1" si="332"/>
        <v>15</v>
      </c>
      <c r="DP53" s="1392">
        <f t="shared" ca="1" si="332"/>
        <v>13</v>
      </c>
      <c r="DQ53" s="1392">
        <f t="shared" ca="1" si="332"/>
        <v>65</v>
      </c>
      <c r="DR53" s="1392">
        <f t="shared" ca="1" si="332"/>
        <v>75</v>
      </c>
      <c r="DS53" s="1392">
        <f t="shared" ca="1" si="332"/>
        <v>13</v>
      </c>
      <c r="DT53" s="1392">
        <f t="shared" ca="1" si="332"/>
        <v>64</v>
      </c>
      <c r="DU53" s="1392">
        <f t="shared" ref="DU53:ED62" ca="1" si="333">RANDBETWEEN(5,80)</f>
        <v>73</v>
      </c>
      <c r="DV53" s="1392">
        <f t="shared" ca="1" si="333"/>
        <v>76</v>
      </c>
      <c r="DW53" s="1392">
        <f t="shared" ca="1" si="333"/>
        <v>31</v>
      </c>
      <c r="DX53" s="1392">
        <f t="shared" ca="1" si="333"/>
        <v>28</v>
      </c>
      <c r="DY53" s="1392">
        <f t="shared" ca="1" si="333"/>
        <v>35</v>
      </c>
      <c r="DZ53" s="1392">
        <f t="shared" ca="1" si="333"/>
        <v>10</v>
      </c>
      <c r="EA53" s="1392">
        <f t="shared" ca="1" si="333"/>
        <v>27</v>
      </c>
      <c r="EB53" s="1392">
        <f t="shared" ca="1" si="333"/>
        <v>32</v>
      </c>
      <c r="EC53" s="1392">
        <f t="shared" ca="1" si="333"/>
        <v>22</v>
      </c>
      <c r="ED53" s="1392">
        <f t="shared" ca="1" si="333"/>
        <v>76</v>
      </c>
      <c r="EE53" s="1392">
        <f t="shared" ref="EE53:ER62" ca="1" si="334">RANDBETWEEN(5,80)</f>
        <v>71</v>
      </c>
      <c r="EF53" s="1392">
        <f t="shared" ca="1" si="334"/>
        <v>66</v>
      </c>
      <c r="EG53" s="1392">
        <f t="shared" ca="1" si="334"/>
        <v>57</v>
      </c>
      <c r="EH53" s="1392">
        <f t="shared" ca="1" si="334"/>
        <v>19</v>
      </c>
      <c r="EI53" s="1392">
        <f t="shared" ca="1" si="334"/>
        <v>48</v>
      </c>
      <c r="EJ53" s="1392">
        <f t="shared" ca="1" si="334"/>
        <v>22</v>
      </c>
      <c r="EK53" s="1392">
        <f t="shared" ca="1" si="334"/>
        <v>76</v>
      </c>
      <c r="EL53" s="1392">
        <f t="shared" ca="1" si="334"/>
        <v>73</v>
      </c>
      <c r="EM53" s="1392">
        <f t="shared" ca="1" si="334"/>
        <v>37</v>
      </c>
      <c r="EN53" s="1392">
        <f t="shared" ca="1" si="334"/>
        <v>26</v>
      </c>
      <c r="EO53" s="1392">
        <f t="shared" ca="1" si="334"/>
        <v>49</v>
      </c>
      <c r="EP53" s="1392">
        <f t="shared" ca="1" si="334"/>
        <v>71</v>
      </c>
      <c r="EQ53" s="1392">
        <f t="shared" ca="1" si="334"/>
        <v>31</v>
      </c>
      <c r="ER53" s="1393">
        <f t="shared" ca="1" si="334"/>
        <v>61</v>
      </c>
      <c r="ES53" s="377"/>
      <c r="ET53" s="316">
        <f t="shared" ref="ET53:ET77" ca="1" si="335">EXP(E53/$D$44)</f>
        <v>4914.7688402991344</v>
      </c>
      <c r="EU53" s="1392">
        <f t="shared" ca="1" si="20"/>
        <v>178482300.96318725</v>
      </c>
      <c r="EV53" s="1392">
        <f t="shared" ca="1" si="21"/>
        <v>3.4903429574618414</v>
      </c>
      <c r="EW53" s="1392">
        <f t="shared" ca="1" si="22"/>
        <v>22026.465794806718</v>
      </c>
      <c r="EX53" s="1392">
        <f t="shared" ca="1" si="23"/>
        <v>208981.28886971297</v>
      </c>
      <c r="EY53" s="1392">
        <f t="shared" ca="1" si="24"/>
        <v>90.017131300521811</v>
      </c>
      <c r="EZ53" s="1392">
        <f t="shared" ca="1" si="25"/>
        <v>5389698.476283012</v>
      </c>
      <c r="FA53" s="1392">
        <f t="shared" ca="1" si="26"/>
        <v>115.58428452718766</v>
      </c>
      <c r="FB53" s="1392">
        <f t="shared" ca="1" si="27"/>
        <v>244.69193226422038</v>
      </c>
      <c r="FC53" s="1392">
        <f t="shared" ca="1" si="28"/>
        <v>36315.502674246636</v>
      </c>
      <c r="FD53" s="1392">
        <f t="shared" ca="1" si="29"/>
        <v>98715.771010760494</v>
      </c>
      <c r="FE53" s="1392">
        <f t="shared" ca="1" si="30"/>
        <v>51136035.380597278</v>
      </c>
      <c r="FF53" s="1392">
        <f t="shared" ca="1" si="31"/>
        <v>28282.541920334977</v>
      </c>
      <c r="FG53" s="1392">
        <f t="shared" ca="1" si="32"/>
        <v>162754.79141900392</v>
      </c>
      <c r="FH53" s="1392">
        <f t="shared" ca="1" si="33"/>
        <v>2321.572414611057</v>
      </c>
      <c r="FI53" s="1392">
        <f t="shared" ca="1" si="34"/>
        <v>46630.028453524326</v>
      </c>
      <c r="FJ53" s="1392">
        <f t="shared" ca="1" si="35"/>
        <v>46630.028453524326</v>
      </c>
      <c r="FK53" s="1392">
        <f t="shared" ca="1" si="36"/>
        <v>2321.572414611057</v>
      </c>
      <c r="FL53" s="1392">
        <f t="shared" ca="1" si="37"/>
        <v>403.42879349273511</v>
      </c>
      <c r="FM53" s="1392">
        <f t="shared" ca="1" si="38"/>
        <v>51136035.380597278</v>
      </c>
      <c r="FN53" s="1392">
        <f t="shared" ca="1" si="39"/>
        <v>42.521082000062783</v>
      </c>
      <c r="FO53" s="1392">
        <f t="shared" ca="1" si="40"/>
        <v>42.521082000062783</v>
      </c>
      <c r="FP53" s="1392">
        <f t="shared" ca="1" si="41"/>
        <v>190.56626845862999</v>
      </c>
      <c r="FQ53" s="1392">
        <f t="shared" ca="1" si="42"/>
        <v>98715.771010760494</v>
      </c>
      <c r="FR53" s="1392">
        <f t="shared" ca="1" si="43"/>
        <v>3269017.3724721107</v>
      </c>
      <c r="FS53" s="1392">
        <f t="shared" ca="1" si="44"/>
        <v>13359.726829661873</v>
      </c>
      <c r="FT53" s="1392">
        <f t="shared" ca="1" si="45"/>
        <v>70.105412346687856</v>
      </c>
      <c r="FU53" s="1392">
        <f t="shared" ca="1" si="46"/>
        <v>665.14163304436181</v>
      </c>
      <c r="FV53" s="1392">
        <f t="shared" ca="1" si="47"/>
        <v>314.19066028569421</v>
      </c>
      <c r="FW53" s="1392">
        <f t="shared" ca="1" si="48"/>
        <v>11409991.763828445</v>
      </c>
      <c r="FX53" s="1392">
        <f t="shared" ca="1" si="49"/>
        <v>90.017131300521811</v>
      </c>
      <c r="FY53" s="1392">
        <f t="shared" ca="1" si="50"/>
        <v>403.42879349273511</v>
      </c>
      <c r="FZ53" s="1392">
        <f t="shared" ca="1" si="51"/>
        <v>244.69193226422038</v>
      </c>
      <c r="GA53" s="1392">
        <f t="shared" ca="1" si="52"/>
        <v>28282.541920334977</v>
      </c>
      <c r="GB53" s="1392">
        <f t="shared" ca="1" si="53"/>
        <v>1982759.2635375687</v>
      </c>
      <c r="GC53" s="1392">
        <f t="shared" ca="1" si="54"/>
        <v>4197501.3938479675</v>
      </c>
      <c r="GD53" s="1392">
        <f t="shared" ca="1" si="55"/>
        <v>65659969.13733051</v>
      </c>
      <c r="GE53" s="1392">
        <f t="shared" ca="1" si="56"/>
        <v>229175810.86564341</v>
      </c>
      <c r="GF53" s="1392">
        <f t="shared" ca="1" si="57"/>
        <v>665.14163304436181</v>
      </c>
      <c r="GG53" s="1392">
        <f t="shared" ca="1" si="58"/>
        <v>115.58428452718766</v>
      </c>
      <c r="GH53" s="1392">
        <f t="shared" ca="1" si="59"/>
        <v>13359.726829661873</v>
      </c>
      <c r="GI53" s="1392">
        <f t="shared" ca="1" si="60"/>
        <v>7.3890560989306504</v>
      </c>
      <c r="GJ53" s="1392">
        <f t="shared" ca="1" si="61"/>
        <v>76879.919764677761</v>
      </c>
      <c r="GK53" s="1392">
        <f t="shared" ca="1" si="62"/>
        <v>2545913.2895553061</v>
      </c>
      <c r="GL53" s="1392">
        <f t="shared" ca="1" si="63"/>
        <v>8103.0839275753842</v>
      </c>
      <c r="GM53" s="1392">
        <f t="shared" ca="1" si="64"/>
        <v>10404.565716560723</v>
      </c>
      <c r="GN53" s="1392">
        <f t="shared" ca="1" si="65"/>
        <v>2545913.2895553061</v>
      </c>
      <c r="GO53" s="1392">
        <f t="shared" ca="1" si="66"/>
        <v>729416.36984770128</v>
      </c>
      <c r="GP53" s="1392">
        <f t="shared" ca="1" si="67"/>
        <v>126753.55900574342</v>
      </c>
      <c r="GQ53" s="1392">
        <f t="shared" ca="1" si="68"/>
        <v>5.7546026760057307</v>
      </c>
      <c r="GR53" s="1392">
        <f t="shared" ca="1" si="69"/>
        <v>33.115451958692312</v>
      </c>
      <c r="GS53" s="1392">
        <f t="shared" ca="1" si="70"/>
        <v>7.3890560989306504</v>
      </c>
      <c r="GT53" s="1392">
        <f t="shared" ca="1" si="71"/>
        <v>115.58428452718766</v>
      </c>
      <c r="GU53" s="1392">
        <f t="shared" ca="1" si="72"/>
        <v>28282.541920334977</v>
      </c>
      <c r="GV53" s="1392">
        <f t="shared" ca="1" si="73"/>
        <v>20.085536923187668</v>
      </c>
      <c r="GW53" s="1392">
        <f t="shared" ca="1" si="74"/>
        <v>344551.8961378237</v>
      </c>
      <c r="GX53" s="1392">
        <f t="shared" ca="1" si="75"/>
        <v>12.182493960703473</v>
      </c>
      <c r="GY53" s="1392">
        <f t="shared" ca="1" si="76"/>
        <v>6310.6881080890244</v>
      </c>
      <c r="GZ53" s="1392">
        <f t="shared" ca="1" si="77"/>
        <v>5.7546026760057307</v>
      </c>
      <c r="HA53" s="1392">
        <f t="shared" ca="1" si="78"/>
        <v>1096.6331584284585</v>
      </c>
      <c r="HB53" s="1392">
        <f t="shared" ca="1" si="79"/>
        <v>294267566.04150879</v>
      </c>
      <c r="HC53" s="1392">
        <f t="shared" ca="1" si="80"/>
        <v>1808.0424144560632</v>
      </c>
      <c r="HD53" s="1392">
        <f t="shared" ca="1" si="81"/>
        <v>42.521082000062783</v>
      </c>
      <c r="HE53" s="1392">
        <f t="shared" ca="1" si="82"/>
        <v>17154.228809290984</v>
      </c>
      <c r="HF53" s="1392">
        <f t="shared" ca="1" si="83"/>
        <v>70.105412346687856</v>
      </c>
      <c r="HG53" s="1392">
        <f t="shared" ca="1" si="84"/>
        <v>8103.0839275753842</v>
      </c>
      <c r="HH53" s="1392">
        <f t="shared" ca="1" si="85"/>
        <v>148.4131591025766</v>
      </c>
      <c r="HI53" s="1392">
        <f t="shared" ca="1" si="86"/>
        <v>665.14163304436181</v>
      </c>
      <c r="HJ53" s="1392">
        <f t="shared" ca="1" si="87"/>
        <v>4914.7688402991344</v>
      </c>
      <c r="HK53" s="1392">
        <f t="shared" ca="1" si="88"/>
        <v>42.521082000062783</v>
      </c>
      <c r="HL53" s="1392">
        <f t="shared" ca="1" si="89"/>
        <v>9.4877358363585262</v>
      </c>
      <c r="HM53" s="1392">
        <f t="shared" ca="1" si="90"/>
        <v>139002155.75451639</v>
      </c>
      <c r="HN53" s="1392">
        <f t="shared" ca="1" si="91"/>
        <v>162754.79141900392</v>
      </c>
      <c r="HO53" s="1392">
        <f t="shared" ca="1" si="92"/>
        <v>148.4131591025766</v>
      </c>
      <c r="HP53" s="1392">
        <f t="shared" ca="1" si="93"/>
        <v>54.598150033144236</v>
      </c>
      <c r="HQ53" s="1392">
        <f t="shared" ca="1" si="94"/>
        <v>1982759.2635375687</v>
      </c>
      <c r="HR53" s="1392">
        <f t="shared" ca="1" si="95"/>
        <v>148.4131591025766</v>
      </c>
      <c r="HS53" s="1392">
        <f t="shared" ca="1" si="96"/>
        <v>14650719.428953517</v>
      </c>
      <c r="HT53" s="1392">
        <f t="shared" ca="1" si="97"/>
        <v>518.01282466834198</v>
      </c>
      <c r="HU53" s="1392">
        <f t="shared" ca="1" si="98"/>
        <v>13359.726829661873</v>
      </c>
      <c r="HV53" s="1392">
        <f t="shared" ca="1" si="99"/>
        <v>854.05876252615155</v>
      </c>
      <c r="HW53" s="1392">
        <f t="shared" ca="1" si="100"/>
        <v>10404.565716560723</v>
      </c>
      <c r="HX53" s="1392">
        <f t="shared" ca="1" si="101"/>
        <v>11409991.763828445</v>
      </c>
      <c r="HY53" s="1392">
        <f t="shared" ca="1" si="102"/>
        <v>344551.8961378237</v>
      </c>
      <c r="HZ53" s="1392">
        <f t="shared" ca="1" si="103"/>
        <v>98715.771010760494</v>
      </c>
      <c r="IA53" s="1392">
        <f t="shared" ca="1" si="104"/>
        <v>314.19066028569421</v>
      </c>
      <c r="IB53" s="1392">
        <f t="shared" ca="1" si="105"/>
        <v>46630.028453524326</v>
      </c>
      <c r="IC53" s="1392">
        <f t="shared" ca="1" si="106"/>
        <v>25.790339917193062</v>
      </c>
      <c r="ID53" s="1392">
        <f t="shared" ca="1" si="107"/>
        <v>1982759.2635375687</v>
      </c>
      <c r="IE53" s="1392">
        <f t="shared" ca="1" si="108"/>
        <v>42.521082000062783</v>
      </c>
      <c r="IF53" s="1392">
        <f t="shared" ca="1" si="109"/>
        <v>12.182493960703473</v>
      </c>
      <c r="IG53" s="1392">
        <f t="shared" ca="1" si="110"/>
        <v>442413.39200892049</v>
      </c>
      <c r="IH53" s="1392">
        <f t="shared" ca="1" si="111"/>
        <v>268337.28652087448</v>
      </c>
      <c r="II53" s="1392">
        <f t="shared" ca="1" si="112"/>
        <v>4914.7688402991344</v>
      </c>
      <c r="IJ53" s="1392">
        <f t="shared" ca="1" si="113"/>
        <v>1808.0424144560632</v>
      </c>
      <c r="IK53" s="1392">
        <f t="shared" ca="1" si="114"/>
        <v>344551.8961378237</v>
      </c>
      <c r="IL53" s="1392">
        <f t="shared" ca="1" si="115"/>
        <v>665.14163304436181</v>
      </c>
      <c r="IM53" s="1392">
        <f t="shared" ca="1" si="116"/>
        <v>2980.9579870417283</v>
      </c>
      <c r="IN53" s="1392">
        <f t="shared" ca="1" si="117"/>
        <v>59874.141715197817</v>
      </c>
      <c r="IO53" s="1392">
        <f t="shared" ca="1" si="118"/>
        <v>22026.465794806718</v>
      </c>
      <c r="IP53" s="1392">
        <f t="shared" ca="1" si="119"/>
        <v>1202604.2841647768</v>
      </c>
      <c r="IQ53" s="1392">
        <f t="shared" ca="1" si="120"/>
        <v>729416.36984770128</v>
      </c>
      <c r="IR53" s="1392">
        <f t="shared" ca="1" si="121"/>
        <v>25.790339917193062</v>
      </c>
      <c r="IS53" s="1392">
        <f t="shared" ca="1" si="122"/>
        <v>84309069.231265053</v>
      </c>
      <c r="IT53" s="1392">
        <f t="shared" ca="1" si="123"/>
        <v>5.7546026760057307</v>
      </c>
      <c r="IU53" s="1392">
        <f t="shared" ca="1" si="124"/>
        <v>208981.28886971297</v>
      </c>
      <c r="IV53" s="1392">
        <f t="shared" ca="1" si="125"/>
        <v>54.598150033144236</v>
      </c>
      <c r="IW53" s="1392">
        <f t="shared" ca="1" si="126"/>
        <v>22026.465794806718</v>
      </c>
      <c r="IX53" s="1392">
        <f t="shared" ca="1" si="127"/>
        <v>936589.15823255444</v>
      </c>
      <c r="IY53" s="1392">
        <f t="shared" ca="1" si="128"/>
        <v>3.4903429574618414</v>
      </c>
      <c r="IZ53" s="1392">
        <f t="shared" ca="1" si="129"/>
        <v>13359.726829661873</v>
      </c>
      <c r="JA53" s="1392">
        <f t="shared" ca="1" si="130"/>
        <v>6920509.8318305807</v>
      </c>
      <c r="JB53" s="1392">
        <f t="shared" ca="1" si="131"/>
        <v>162754.79141900392</v>
      </c>
      <c r="JC53" s="1392">
        <f t="shared" ca="1" si="132"/>
        <v>729416.36984770128</v>
      </c>
      <c r="JD53" s="1392">
        <f t="shared" ca="1" si="133"/>
        <v>42.521082000062783</v>
      </c>
      <c r="JE53" s="1392">
        <f t="shared" ca="1" si="134"/>
        <v>25.790339917193062</v>
      </c>
      <c r="JF53" s="1392">
        <f t="shared" ca="1" si="135"/>
        <v>11409991.763828445</v>
      </c>
      <c r="JG53" s="1392">
        <f t="shared" ca="1" si="136"/>
        <v>139002155.75451639</v>
      </c>
      <c r="JH53" s="1392">
        <f t="shared" ca="1" si="137"/>
        <v>25.790339917193062</v>
      </c>
      <c r="JI53" s="1392">
        <f t="shared" ca="1" si="138"/>
        <v>8886110.5205078721</v>
      </c>
      <c r="JJ53" s="1392">
        <f t="shared" ca="1" si="139"/>
        <v>84309069.231265053</v>
      </c>
      <c r="JK53" s="1392">
        <f t="shared" ca="1" si="140"/>
        <v>178482300.96318725</v>
      </c>
      <c r="JL53" s="1392">
        <f t="shared" ca="1" si="141"/>
        <v>2321.572414611057</v>
      </c>
      <c r="JM53" s="1392">
        <f t="shared" ca="1" si="142"/>
        <v>1096.6331584284585</v>
      </c>
      <c r="JN53" s="1392">
        <f t="shared" ca="1" si="143"/>
        <v>6310.6881080890244</v>
      </c>
      <c r="JO53" s="1392">
        <f t="shared" ca="1" si="144"/>
        <v>12.182493960703473</v>
      </c>
      <c r="JP53" s="1392">
        <f t="shared" ca="1" si="145"/>
        <v>854.05876252615155</v>
      </c>
      <c r="JQ53" s="1392">
        <f t="shared" ca="1" si="146"/>
        <v>2980.9579870417283</v>
      </c>
      <c r="JR53" s="1392">
        <f t="shared" ca="1" si="147"/>
        <v>244.69193226422038</v>
      </c>
      <c r="JS53" s="1392">
        <f t="shared" ca="1" si="148"/>
        <v>178482300.96318725</v>
      </c>
      <c r="JT53" s="1392">
        <f t="shared" ca="1" si="149"/>
        <v>51136035.380597278</v>
      </c>
      <c r="JU53" s="1392">
        <f t="shared" ca="1" si="150"/>
        <v>14650719.428953517</v>
      </c>
      <c r="JV53" s="1392">
        <f t="shared" ca="1" si="151"/>
        <v>1544174.4670851405</v>
      </c>
      <c r="JW53" s="1392">
        <f t="shared" ca="1" si="152"/>
        <v>115.58428452718766</v>
      </c>
      <c r="JX53" s="1392">
        <f t="shared" ca="1" si="153"/>
        <v>162754.79141900392</v>
      </c>
      <c r="JY53" s="1392">
        <f t="shared" ca="1" si="154"/>
        <v>244.69193226422038</v>
      </c>
      <c r="JZ53" s="1392">
        <f t="shared" ca="1" si="155"/>
        <v>178482300.96318725</v>
      </c>
      <c r="KA53" s="1392">
        <f t="shared" ca="1" si="156"/>
        <v>84309069.231265053</v>
      </c>
      <c r="KB53" s="1392">
        <f t="shared" ca="1" si="157"/>
        <v>10404.565716560723</v>
      </c>
      <c r="KC53" s="1392">
        <f t="shared" ca="1" si="158"/>
        <v>665.14163304436181</v>
      </c>
      <c r="KD53" s="1392">
        <f t="shared" ca="1" si="159"/>
        <v>208981.28886971297</v>
      </c>
      <c r="KE53" s="1392">
        <f t="shared" ca="1" si="160"/>
        <v>51136035.380597278</v>
      </c>
      <c r="KF53" s="1392">
        <f t="shared" ca="1" si="161"/>
        <v>2321.572414611057</v>
      </c>
      <c r="KG53" s="1399">
        <f t="shared" ca="1" si="162"/>
        <v>4197501.3938479675</v>
      </c>
      <c r="KH53" s="1406">
        <f t="shared" ca="1" si="163"/>
        <v>2155897268.3100405</v>
      </c>
      <c r="KI53" s="377"/>
      <c r="KJ53" s="1444">
        <f t="shared" ca="1" si="164"/>
        <v>85.965891358604225</v>
      </c>
      <c r="KK53" s="49">
        <f t="shared" ca="1" si="165"/>
        <v>66.086638160300225</v>
      </c>
      <c r="KL53" s="377"/>
      <c r="KM53" s="908">
        <f t="shared" ca="1" si="166"/>
        <v>2.2796860094134778E-6</v>
      </c>
      <c r="KN53" s="1411">
        <f t="shared" ca="1" si="167"/>
        <v>8.2787943371297801E-2</v>
      </c>
      <c r="KO53" s="1411">
        <f t="shared" ca="1" si="168"/>
        <v>1.6189746184881264E-9</v>
      </c>
      <c r="KP53" s="1411">
        <f t="shared" ca="1" si="169"/>
        <v>1.0216843872190984E-5</v>
      </c>
      <c r="KQ53" s="1411">
        <f t="shared" ca="1" si="170"/>
        <v>9.6934715740666392E-5</v>
      </c>
      <c r="KR53" s="1411">
        <f t="shared" ca="1" si="171"/>
        <v>4.1753905728116732E-8</v>
      </c>
      <c r="KS53" s="1411">
        <f t="shared" ca="1" si="172"/>
        <v>2.4999792687282708E-3</v>
      </c>
      <c r="KT53" s="1411">
        <f t="shared" ca="1" si="173"/>
        <v>5.3613076200885764E-8</v>
      </c>
      <c r="KU53" s="1411">
        <f t="shared" ca="1" si="174"/>
        <v>1.1349888320793175E-7</v>
      </c>
      <c r="KV53" s="1411">
        <f t="shared" ca="1" si="175"/>
        <v>1.6844727811503536E-5</v>
      </c>
      <c r="KW53" s="1411">
        <f t="shared" ca="1" si="176"/>
        <v>4.5788717515348761E-5</v>
      </c>
      <c r="KX53" s="1411">
        <f t="shared" ca="1" si="177"/>
        <v>2.3719142898066599E-2</v>
      </c>
      <c r="KY53" s="1411">
        <f t="shared" ca="1" si="178"/>
        <v>1.3118687210223625E-5</v>
      </c>
      <c r="KZ53" s="1411">
        <f t="shared" ca="1" si="179"/>
        <v>7.5492832525635021E-5</v>
      </c>
      <c r="LA53" s="1411">
        <f t="shared" ca="1" si="180"/>
        <v>1.0768474215985651E-6</v>
      </c>
      <c r="LB53" s="1411">
        <f t="shared" ca="1" si="181"/>
        <v>2.1629058647157412E-5</v>
      </c>
      <c r="LC53" s="1411">
        <f t="shared" ca="1" si="182"/>
        <v>2.1629058647157412E-5</v>
      </c>
      <c r="LD53" s="1411">
        <f t="shared" ca="1" si="183"/>
        <v>1.0768474215985651E-6</v>
      </c>
      <c r="LE53" s="1411">
        <f t="shared" ca="1" si="184"/>
        <v>1.8712802294562666E-7</v>
      </c>
      <c r="LF53" s="1411">
        <f t="shared" ca="1" si="185"/>
        <v>2.3719142898066599E-2</v>
      </c>
      <c r="LG53" s="1411">
        <f t="shared" ca="1" si="186"/>
        <v>1.972314851226381E-8</v>
      </c>
      <c r="LH53" s="1411">
        <f t="shared" ca="1" si="187"/>
        <v>1.972314851226381E-8</v>
      </c>
      <c r="LI53" s="1411">
        <f t="shared" ca="1" si="188"/>
        <v>8.8393019120067177E-8</v>
      </c>
      <c r="LJ53" s="1411">
        <f t="shared" ca="1" si="189"/>
        <v>4.5788717515348761E-5</v>
      </c>
      <c r="LK53" s="1411">
        <f t="shared" ca="1" si="190"/>
        <v>1.5163140751296652E-3</v>
      </c>
      <c r="LL53" s="1411">
        <f t="shared" ca="1" si="191"/>
        <v>6.1968290539809734E-6</v>
      </c>
      <c r="LM53" s="1411">
        <f t="shared" ca="1" si="192"/>
        <v>3.2517974477346925E-8</v>
      </c>
      <c r="LN53" s="1411">
        <f t="shared" ca="1" si="193"/>
        <v>3.0852195177451633E-7</v>
      </c>
      <c r="LO53" s="1411">
        <f t="shared" ca="1" si="194"/>
        <v>1.4573545080465787E-7</v>
      </c>
      <c r="LP53" s="1411">
        <f t="shared" ca="1" si="195"/>
        <v>5.2924561534290924E-3</v>
      </c>
      <c r="LQ53" s="1411">
        <f t="shared" ca="1" si="196"/>
        <v>4.1753905728116732E-8</v>
      </c>
      <c r="LR53" s="1411">
        <f t="shared" ca="1" si="197"/>
        <v>1.8712802294562666E-7</v>
      </c>
      <c r="LS53" s="1411">
        <f t="shared" ca="1" si="198"/>
        <v>1.1349888320793175E-7</v>
      </c>
      <c r="LT53" s="1411">
        <f t="shared" ca="1" si="199"/>
        <v>1.3118687210223625E-5</v>
      </c>
      <c r="LU53" s="1411">
        <f t="shared" ca="1" si="200"/>
        <v>9.1969097631994744E-4</v>
      </c>
      <c r="LV53" s="1411">
        <f t="shared" ca="1" si="201"/>
        <v>1.9469858121478555E-3</v>
      </c>
      <c r="LW53" s="1411">
        <f t="shared" ca="1" si="202"/>
        <v>3.0455982343166047E-2</v>
      </c>
      <c r="LX53" s="1411">
        <f t="shared" ca="1" si="203"/>
        <v>0.10630182348405182</v>
      </c>
      <c r="LY53" s="1411">
        <f t="shared" ca="1" si="204"/>
        <v>3.0852195177451633E-7</v>
      </c>
      <c r="LZ53" s="1411">
        <f t="shared" ca="1" si="205"/>
        <v>5.3613076200885764E-8</v>
      </c>
      <c r="MA53" s="1411">
        <f t="shared" ca="1" si="206"/>
        <v>6.1968290539809734E-6</v>
      </c>
      <c r="MB53" s="1411">
        <f t="shared" ca="1" si="207"/>
        <v>3.4273692942348618E-9</v>
      </c>
      <c r="MC53" s="1411">
        <f t="shared" ca="1" si="208"/>
        <v>3.5660289056788963E-5</v>
      </c>
      <c r="MD53" s="1411">
        <f t="shared" ca="1" si="209"/>
        <v>1.1809065890931762E-3</v>
      </c>
      <c r="ME53" s="1411">
        <f t="shared" ca="1" si="210"/>
        <v>3.7585668142374936E-6</v>
      </c>
      <c r="MF53" s="1411">
        <f t="shared" ca="1" si="211"/>
        <v>4.8260953198000149E-6</v>
      </c>
      <c r="MG53" s="1411">
        <f t="shared" ca="1" si="212"/>
        <v>1.1809065890931762E-3</v>
      </c>
      <c r="MH53" s="1411">
        <f t="shared" ca="1" si="213"/>
        <v>3.383354024190004E-4</v>
      </c>
      <c r="MI53" s="1411">
        <f t="shared" ca="1" si="214"/>
        <v>5.8793877087242981E-5</v>
      </c>
      <c r="MJ53" s="1411">
        <f t="shared" ca="1" si="215"/>
        <v>2.669237890224999E-9</v>
      </c>
      <c r="MK53" s="1411">
        <f t="shared" ca="1" si="216"/>
        <v>1.5360403505984666E-8</v>
      </c>
      <c r="ML53" s="1411">
        <f t="shared" ca="1" si="217"/>
        <v>3.4273692942348618E-9</v>
      </c>
      <c r="MM53" s="1411">
        <f t="shared" ca="1" si="218"/>
        <v>5.3613076200885764E-8</v>
      </c>
      <c r="MN53" s="1411">
        <f t="shared" ca="1" si="219"/>
        <v>1.3118687210223625E-5</v>
      </c>
      <c r="MO53" s="1411">
        <f t="shared" ca="1" si="220"/>
        <v>9.3165556719371274E-9</v>
      </c>
      <c r="MP53" s="1411">
        <f t="shared" ca="1" si="221"/>
        <v>1.5981832771090721E-4</v>
      </c>
      <c r="MQ53" s="1411">
        <f t="shared" ca="1" si="222"/>
        <v>5.650776657949503E-9</v>
      </c>
      <c r="MR53" s="1411">
        <f t="shared" ca="1" si="223"/>
        <v>2.927174778154356E-6</v>
      </c>
      <c r="MS53" s="1411">
        <f t="shared" ca="1" si="224"/>
        <v>2.669237890224999E-9</v>
      </c>
      <c r="MT53" s="1411">
        <f t="shared" ca="1" si="225"/>
        <v>5.0866670436856418E-7</v>
      </c>
      <c r="MU53" s="1411">
        <f t="shared" ca="1" si="226"/>
        <v>0.13649424319377637</v>
      </c>
      <c r="MV53" s="1411">
        <f t="shared" ca="1" si="227"/>
        <v>8.3864961518938565E-7</v>
      </c>
      <c r="MW53" s="1411">
        <f t="shared" ca="1" si="228"/>
        <v>1.972314851226381E-8</v>
      </c>
      <c r="MX53" s="1411">
        <f t="shared" ca="1" si="229"/>
        <v>7.9568860081806205E-6</v>
      </c>
      <c r="MY53" s="1411">
        <f t="shared" ca="1" si="230"/>
        <v>3.2517974477346925E-8</v>
      </c>
      <c r="MZ53" s="1411">
        <f t="shared" ca="1" si="231"/>
        <v>3.7585668142374936E-6</v>
      </c>
      <c r="NA53" s="1411">
        <f t="shared" ca="1" si="232"/>
        <v>6.8840552508753972E-8</v>
      </c>
      <c r="NB53" s="1411">
        <f t="shared" ca="1" si="233"/>
        <v>3.0852195177451633E-7</v>
      </c>
      <c r="NC53" s="1411">
        <f t="shared" ca="1" si="234"/>
        <v>2.2796860094134778E-6</v>
      </c>
      <c r="ND53" s="1411">
        <f t="shared" ca="1" si="235"/>
        <v>1.972314851226381E-8</v>
      </c>
      <c r="NE53" s="1411">
        <f t="shared" ca="1" si="236"/>
        <v>4.4008292861726894E-9</v>
      </c>
      <c r="NF53" s="1411">
        <f t="shared" ca="1" si="237"/>
        <v>6.4475315126437852E-2</v>
      </c>
      <c r="NG53" s="1411">
        <f t="shared" ca="1" si="238"/>
        <v>7.5492832525635021E-5</v>
      </c>
      <c r="NH53" s="1411">
        <f t="shared" ca="1" si="239"/>
        <v>6.8840552508753972E-8</v>
      </c>
      <c r="NI53" s="1411">
        <f t="shared" ca="1" si="240"/>
        <v>2.5325023986853742E-8</v>
      </c>
      <c r="NJ53" s="1411">
        <f t="shared" ca="1" si="241"/>
        <v>9.1969097631994744E-4</v>
      </c>
      <c r="NK53" s="1411">
        <f t="shared" ca="1" si="242"/>
        <v>6.8840552508753972E-8</v>
      </c>
      <c r="NL53" s="1411">
        <f t="shared" ca="1" si="243"/>
        <v>6.7956482177083917E-3</v>
      </c>
      <c r="NM53" s="1411">
        <f t="shared" ca="1" si="244"/>
        <v>2.4027713763671151E-7</v>
      </c>
      <c r="NN53" s="1411">
        <f t="shared" ca="1" si="245"/>
        <v>6.1968290539809734E-6</v>
      </c>
      <c r="NO53" s="1411">
        <f t="shared" ca="1" si="246"/>
        <v>3.9615002768458865E-7</v>
      </c>
      <c r="NP53" s="1411">
        <f t="shared" ca="1" si="247"/>
        <v>4.8260953198000149E-6</v>
      </c>
      <c r="NQ53" s="1411">
        <f t="shared" ca="1" si="248"/>
        <v>5.2924561534290924E-3</v>
      </c>
      <c r="NR53" s="1411">
        <f t="shared" ca="1" si="249"/>
        <v>1.5981832771090721E-4</v>
      </c>
      <c r="NS53" s="1411">
        <f t="shared" ca="1" si="250"/>
        <v>4.5788717515348761E-5</v>
      </c>
      <c r="NT53" s="1411">
        <f t="shared" ca="1" si="251"/>
        <v>1.4573545080465787E-7</v>
      </c>
      <c r="NU53" s="1411">
        <f t="shared" ca="1" si="252"/>
        <v>2.1629058647157412E-5</v>
      </c>
      <c r="NV53" s="1411">
        <f t="shared" ca="1" si="253"/>
        <v>1.1962694278753612E-8</v>
      </c>
      <c r="NW53" s="1411">
        <f t="shared" ca="1" si="254"/>
        <v>9.1969097631994744E-4</v>
      </c>
      <c r="NX53" s="1411">
        <f t="shared" ca="1" si="255"/>
        <v>1.972314851226381E-8</v>
      </c>
      <c r="NY53" s="1411">
        <f t="shared" ca="1" si="256"/>
        <v>5.650776657949503E-9</v>
      </c>
      <c r="NZ53" s="1411">
        <f t="shared" ca="1" si="257"/>
        <v>2.0521079483333565E-4</v>
      </c>
      <c r="OA53" s="1411">
        <f t="shared" ca="1" si="258"/>
        <v>1.2446663877041696E-4</v>
      </c>
      <c r="OB53" s="1411">
        <f t="shared" ca="1" si="259"/>
        <v>2.2796860094134778E-6</v>
      </c>
      <c r="OC53" s="1411">
        <f t="shared" ca="1" si="260"/>
        <v>8.3864961518938565E-7</v>
      </c>
      <c r="OD53" s="1411">
        <f t="shared" ca="1" si="261"/>
        <v>1.5981832771090721E-4</v>
      </c>
      <c r="OE53" s="1411">
        <f t="shared" ca="1" si="262"/>
        <v>3.0852195177451633E-7</v>
      </c>
      <c r="OF53" s="1411">
        <f t="shared" ca="1" si="263"/>
        <v>1.3826994592272174E-6</v>
      </c>
      <c r="OG53" s="1411">
        <f t="shared" ca="1" si="264"/>
        <v>2.7772261041979896E-5</v>
      </c>
      <c r="OH53" s="1411">
        <f t="shared" ca="1" si="265"/>
        <v>1.0216843872190984E-5</v>
      </c>
      <c r="OI53" s="1411">
        <f t="shared" ca="1" si="266"/>
        <v>5.5782077459909363E-4</v>
      </c>
      <c r="OJ53" s="1411">
        <f t="shared" ca="1" si="267"/>
        <v>3.383354024190004E-4</v>
      </c>
      <c r="OK53" s="1411">
        <f t="shared" ca="1" si="268"/>
        <v>1.1962694278753612E-8</v>
      </c>
      <c r="OL53" s="1411">
        <f t="shared" ca="1" si="269"/>
        <v>3.9106255418818285E-2</v>
      </c>
      <c r="OM53" s="1411">
        <f t="shared" ca="1" si="270"/>
        <v>2.669237890224999E-9</v>
      </c>
      <c r="ON53" s="1411">
        <f t="shared" ca="1" si="271"/>
        <v>9.6934715740666392E-5</v>
      </c>
      <c r="OO53" s="1411">
        <f t="shared" ca="1" si="272"/>
        <v>2.5325023986853742E-8</v>
      </c>
      <c r="OP53" s="1411">
        <f t="shared" ca="1" si="273"/>
        <v>1.0216843872190984E-5</v>
      </c>
      <c r="OQ53" s="1411">
        <f t="shared" ca="1" si="274"/>
        <v>4.3443125607127176E-4</v>
      </c>
      <c r="OR53" s="1411">
        <f t="shared" ca="1" si="275"/>
        <v>1.6189746184881264E-9</v>
      </c>
      <c r="OS53" s="1411">
        <f t="shared" ca="1" si="276"/>
        <v>6.1968290539809734E-6</v>
      </c>
      <c r="OT53" s="1411">
        <f t="shared" ca="1" si="277"/>
        <v>3.2100369222395338E-3</v>
      </c>
      <c r="OU53" s="1411">
        <f t="shared" ca="1" si="278"/>
        <v>7.5492832525635021E-5</v>
      </c>
      <c r="OV53" s="1411">
        <f t="shared" ca="1" si="279"/>
        <v>3.383354024190004E-4</v>
      </c>
      <c r="OW53" s="1411">
        <f t="shared" ca="1" si="280"/>
        <v>1.972314851226381E-8</v>
      </c>
      <c r="OX53" s="1411">
        <f t="shared" ca="1" si="281"/>
        <v>1.1962694278753612E-8</v>
      </c>
      <c r="OY53" s="1411">
        <f t="shared" ca="1" si="282"/>
        <v>5.2924561534290924E-3</v>
      </c>
      <c r="OZ53" s="1411">
        <f t="shared" ca="1" si="283"/>
        <v>6.4475315126437852E-2</v>
      </c>
      <c r="PA53" s="1411">
        <f t="shared" ca="1" si="284"/>
        <v>1.1962694278753612E-8</v>
      </c>
      <c r="PB53" s="1411">
        <f t="shared" ca="1" si="285"/>
        <v>4.1217689966616521E-3</v>
      </c>
      <c r="PC53" s="1411">
        <f t="shared" ca="1" si="286"/>
        <v>3.9106255418818285E-2</v>
      </c>
      <c r="PD53" s="1411">
        <f t="shared" ca="1" si="287"/>
        <v>8.2787943371297801E-2</v>
      </c>
      <c r="PE53" s="1411">
        <f t="shared" ca="1" si="288"/>
        <v>1.0768474215985651E-6</v>
      </c>
      <c r="PF53" s="1411">
        <f t="shared" ca="1" si="289"/>
        <v>5.0866670436856418E-7</v>
      </c>
      <c r="PG53" s="1411">
        <f t="shared" ca="1" si="290"/>
        <v>2.927174778154356E-6</v>
      </c>
      <c r="PH53" s="1411">
        <f t="shared" ca="1" si="291"/>
        <v>5.650776657949503E-9</v>
      </c>
      <c r="PI53" s="1411">
        <f t="shared" ca="1" si="292"/>
        <v>3.9615002768458865E-7</v>
      </c>
      <c r="PJ53" s="1411">
        <f t="shared" ca="1" si="293"/>
        <v>1.3826994592272174E-6</v>
      </c>
      <c r="PK53" s="1411">
        <f t="shared" ca="1" si="294"/>
        <v>1.1349888320793175E-7</v>
      </c>
      <c r="PL53" s="1411">
        <f t="shared" ca="1" si="295"/>
        <v>8.2787943371297801E-2</v>
      </c>
      <c r="PM53" s="1411">
        <f t="shared" ca="1" si="296"/>
        <v>2.3719142898066599E-2</v>
      </c>
      <c r="PN53" s="1411">
        <f t="shared" ca="1" si="297"/>
        <v>6.7956482177083917E-3</v>
      </c>
      <c r="PO53" s="1411">
        <f t="shared" ca="1" si="298"/>
        <v>7.1625605254167985E-4</v>
      </c>
      <c r="PP53" s="1411">
        <f t="shared" ca="1" si="299"/>
        <v>5.3613076200885764E-8</v>
      </c>
      <c r="PQ53" s="1411">
        <f t="shared" ca="1" si="300"/>
        <v>7.5492832525635021E-5</v>
      </c>
      <c r="PR53" s="1411">
        <f t="shared" ca="1" si="301"/>
        <v>1.1349888320793175E-7</v>
      </c>
      <c r="PS53" s="1411">
        <f t="shared" ca="1" si="302"/>
        <v>8.2787943371297801E-2</v>
      </c>
      <c r="PT53" s="1411">
        <f t="shared" ca="1" si="303"/>
        <v>3.9106255418818285E-2</v>
      </c>
      <c r="PU53" s="1411">
        <f t="shared" ca="1" si="304"/>
        <v>4.8260953198000149E-6</v>
      </c>
      <c r="PV53" s="1411">
        <f t="shared" ca="1" si="305"/>
        <v>3.0852195177451633E-7</v>
      </c>
      <c r="PW53" s="1411">
        <f t="shared" ca="1" si="306"/>
        <v>9.6934715740666392E-5</v>
      </c>
      <c r="PX53" s="1411">
        <f t="shared" ca="1" si="307"/>
        <v>2.3719142898066599E-2</v>
      </c>
      <c r="PY53" s="1411">
        <f t="shared" ca="1" si="308"/>
        <v>1.0768474215985651E-6</v>
      </c>
      <c r="PZ53" s="1412">
        <f t="shared" ca="1" si="309"/>
        <v>1.9469858121478555E-3</v>
      </c>
      <c r="QB53" s="33" t="s">
        <v>1072</v>
      </c>
      <c r="QC53" s="1432">
        <f t="shared" ref="QC53:QC77" ca="1" si="336">SUM(KM53:MH53)</f>
        <v>0.28228296406862097</v>
      </c>
      <c r="QD53" s="744">
        <f t="shared" ref="QD53:QD77" ca="1" si="337">SUM(MI53:OD53)</f>
        <v>0.21595494006326843</v>
      </c>
      <c r="QE53" s="1068">
        <f t="shared" ref="QE53:QE77" ca="1" si="338">SUM(OE53:PZ53)</f>
        <v>0.50176209586811116</v>
      </c>
      <c r="QF53" s="744">
        <f t="shared" ref="QF53:QF77" ca="1" si="339">SUM(KM53:LB53,MI53:MX53,OE53:OT53)</f>
        <v>0.28982892609745242</v>
      </c>
      <c r="QG53" s="744">
        <f t="shared" ref="QG53:QG77" ca="1" si="340">SUM(LC53:LR53,MY53:NN53,OU53:PJ53)</f>
        <v>0.299086762865795</v>
      </c>
      <c r="QH53" s="1068">
        <f t="shared" ref="QH53:QH77" ca="1" si="341">SUM(LS53:MH53,NO53:OD53,PK53:PZ53)</f>
        <v>0.41108431103675314</v>
      </c>
      <c r="QI53" s="744">
        <f t="shared" ref="QI53:QI77" ca="1" si="342">SUMPRODUCT(KM53:PZ53,$KM$27:$PZ$27)</f>
        <v>0.54750243518841468</v>
      </c>
      <c r="QJ53" s="1068">
        <f t="shared" ref="QJ53:QJ77" ca="1" si="343">SUMPRODUCT(KM53:PZ53,$KM$22:$PZ$22)</f>
        <v>0.45249756481158593</v>
      </c>
      <c r="QK53" s="744">
        <f t="shared" ref="QK53:QK77" ca="1" si="344">SUMPRODUCT(KM53:PZ53,$KM$26:$PZ$26)</f>
        <v>0.50125271063528243</v>
      </c>
      <c r="QL53" s="1068">
        <f t="shared" ref="QL53:QL77" ca="1" si="345">SUMPRODUCT(KM53:PZ53,$KM$21:$PZ$21)</f>
        <v>0.49874728936471818</v>
      </c>
      <c r="QM53" s="744">
        <f t="shared" ref="QM53:QM77" ca="1" si="346">SUMPRODUCT(KM53:PZ53,$KM$25:$PZ$25)</f>
        <v>0.79388400854274588</v>
      </c>
      <c r="QN53" s="1068">
        <f t="shared" ref="QN53:QN77" ca="1" si="347">SUMPRODUCT(KM53:PZ53,$KM$20:$PZ$20)</f>
        <v>0.20611599145725462</v>
      </c>
      <c r="QO53" s="744">
        <f t="shared" ref="QO53:QO77" ca="1" si="348">SUMPRODUCT(KM53:PZ53,$KM$24:$PZ$24)</f>
        <v>0.33274398933420452</v>
      </c>
      <c r="QP53" s="1068">
        <f t="shared" ref="QP53:QP77" ca="1" si="349">SUMPRODUCT(KM53:PZ53,$KM$19:$PZ$19)</f>
        <v>0.66725601066579598</v>
      </c>
      <c r="QR53" s="1432">
        <f t="shared" ref="QR53:QR66" ca="1" si="350">SUM(KM53:LB53)</f>
        <v>0.10929065813968615</v>
      </c>
      <c r="QS53" s="744">
        <f t="shared" ref="QS53:QS66" ca="1" si="351">SUM(LC53:LR53)</f>
        <v>3.0603635203908262E-2</v>
      </c>
      <c r="QT53" s="744">
        <f t="shared" ref="QT53:QT66" ca="1" si="352">SUM(LS53:MH53)</f>
        <v>0.14238867072502653</v>
      </c>
      <c r="QU53" s="743">
        <f t="shared" ref="QU53:QU66" ca="1" si="353">SUM(MI53:MX53)</f>
        <v>0.13673831789269628</v>
      </c>
      <c r="QV53" s="744">
        <f t="shared" ref="QV53:QV66" ca="1" si="354">SUM(MY53:NN53)</f>
        <v>7.2279219522592628E-2</v>
      </c>
      <c r="QW53" s="744">
        <f t="shared" ref="QW53:QW66" ca="1" si="355">SUM(NO53:OD53)</f>
        <v>6.9374026479794527E-3</v>
      </c>
      <c r="QX53" s="743">
        <f t="shared" ref="QX53:QX66" ca="1" si="356">SUM(OE53:OT53)</f>
        <v>4.3799950065069974E-2</v>
      </c>
      <c r="QY53" s="744">
        <f t="shared" ref="QY53:QY66" ca="1" si="357">SUM(OU53:PJ53)</f>
        <v>0.19620390813929409</v>
      </c>
      <c r="QZ53" s="745">
        <f t="shared" ref="QZ53:QZ66" ca="1" si="358">SUM(PK53:PZ53)</f>
        <v>0.26175823766374712</v>
      </c>
      <c r="RC53" s="744">
        <f t="shared" ref="RC53:RC77" ca="1" si="359">SUM(KU53:LB53)</f>
        <v>2.3893207268081272E-2</v>
      </c>
      <c r="RD53" s="744">
        <f t="shared" ref="RD53:RD77" ca="1" si="360">SUM(LK53:LR53)</f>
        <v>6.815682714918469E-3</v>
      </c>
      <c r="RE53" s="744">
        <f t="shared" ref="RE53:RE77" ca="1" si="361">SUM(MA53:MH53)</f>
        <v>2.7505937882194545E-3</v>
      </c>
      <c r="RF53" s="744">
        <f t="shared" ref="RF53:RF77" ca="1" si="362">SUM(MQ53:MX53)</f>
        <v>0.13650650261404534</v>
      </c>
      <c r="RG53" s="744">
        <f t="shared" ref="RG53:RG77" ca="1" si="363">SUM(NG53:NN53)</f>
        <v>7.7974321388745958E-3</v>
      </c>
      <c r="RH53" s="744">
        <f t="shared" ref="RH53:RH77" ca="1" si="364">SUM(NW53:OD53)</f>
        <v>1.4123304471843803E-3</v>
      </c>
      <c r="RI53" s="744">
        <f t="shared" ref="RI53:RI77" ca="1" si="365">SUM(OM53:OT53)</f>
        <v>3.7578461802141392E-3</v>
      </c>
      <c r="RJ53" s="744">
        <f t="shared" ref="RJ53:RJ77" ca="1" si="366">SUM(PC53:PJ53)</f>
        <v>0.12190049597928376</v>
      </c>
      <c r="RK53" s="744">
        <f t="shared" ref="RK53:RK77" ca="1" si="367">SUM(PS53:PZ53)</f>
        <v>0.14766347368076438</v>
      </c>
      <c r="RL53" s="1251"/>
      <c r="RM53" s="744">
        <f t="shared" ref="RM53:RM77" ca="1" si="368">SUMPRODUCT(KM53:LB53,$KM$21:$LB$21)</f>
        <v>2.7083267772554809E-3</v>
      </c>
      <c r="RN53" s="744">
        <f t="shared" ref="RN53:RN77" ca="1" si="369">SUMPRODUCT(LC53:LR53,$KM$21:$LB$21)</f>
        <v>5.338747327640064E-3</v>
      </c>
      <c r="RO53" s="744">
        <f t="shared" ref="RO53:RO77" ca="1" si="370">SUMPRODUCT(LS53:MH53,$KM$21:$LB$21)</f>
        <v>0.13828599461589203</v>
      </c>
      <c r="RP53" s="744">
        <f t="shared" ref="RP53:RP77" ca="1" si="371">SUMPRODUCT(MI53:MX53,$KM$21:$LB$21)</f>
        <v>0.13667605839710126</v>
      </c>
      <c r="RQ53" s="744">
        <f t="shared" ref="RQ53:RQ77" ca="1" si="372">SUMPRODUCT(MY53:NN53,$KM$21:$LB$21)</f>
        <v>7.1279773100877575E-2</v>
      </c>
      <c r="RR53" s="744">
        <f t="shared" ref="RR53:RR77" ca="1" si="373">SUMPRODUCT(NO53:OD53,$KM$21:$LB$21)</f>
        <v>3.5497877641351664E-4</v>
      </c>
      <c r="RS53" s="744">
        <f t="shared" ref="RS53:RS77" ca="1" si="374">SUMPRODUCT(OE53:OT53,$KM$21:$LB$21)</f>
        <v>4.3653090184870062E-2</v>
      </c>
      <c r="RT53" s="744">
        <f t="shared" ref="RT53:RT77" ca="1" si="375">SUMPRODUCT(OU53:PJ53,$KM$21:$LB$21)</f>
        <v>7.3894263914264582E-2</v>
      </c>
      <c r="RU53" s="744">
        <f t="shared" ref="RU53:RU77" ca="1" si="376">SUMPRODUCT(PK53:PZ53,$KM$21:$LB$21)</f>
        <v>2.6556056270403441E-2</v>
      </c>
      <c r="RV53" s="744"/>
      <c r="RW53" s="744">
        <f t="shared" ref="RW53:RW77" ca="1" si="377">SUMPRODUCT(KM53:LB53,$KM$20:$LB$20)</f>
        <v>2.6297888866301983E-2</v>
      </c>
      <c r="RX53" s="744">
        <f t="shared" ref="RX53:RX77" ca="1" si="378">SUMPRODUCT(LC53:LR53,$KM$20:$LB$20)</f>
        <v>2.3765777058478935E-2</v>
      </c>
      <c r="RY53" s="744">
        <f t="shared" ref="RY53:RY77" ca="1" si="379">SUMPRODUCT(LS53:MH53,$KM$20:$LB$20)</f>
        <v>5.6028477931579198E-3</v>
      </c>
      <c r="RZ53" s="744">
        <f t="shared" ref="RZ53:RZ77" ca="1" si="380">SUMPRODUCT(MI53:MX53,$KM$20:$LB$20)</f>
        <v>1.6833437713833105E-4</v>
      </c>
      <c r="SA53" s="744">
        <f t="shared" ref="SA53:SA77" ca="1" si="381">SUMPRODUCT(MY53:NN53,$KM$20:$LB$20)</f>
        <v>6.5401850297306954E-2</v>
      </c>
      <c r="SB53" s="744">
        <f t="shared" ref="SB53:SB77" ca="1" si="382">SUMPRODUCT(NO53:OD53,$KM$20:$LB$20)</f>
        <v>5.839788925417525E-3</v>
      </c>
      <c r="SC53" s="744">
        <f t="shared" ref="SC53:SC77" ca="1" si="383">SUMPRODUCT(OE53:OT53,$KM$20:$LB$20)</f>
        <v>4.2370732406616422E-2</v>
      </c>
      <c r="SD53" s="744">
        <f t="shared" ref="SD53:SD77" ca="1" si="384">SUMPRODUCT(OU53:PJ53,$KM$20:$LB$20)</f>
        <v>4.1251770088115997E-3</v>
      </c>
      <c r="SE53" s="744">
        <f t="shared" ref="SE53:SE77" ca="1" si="385">SUMPRODUCT(PK53:PZ53,$KM$20:$LB$20)</f>
        <v>3.2543594724024863E-2</v>
      </c>
      <c r="SF53" s="744"/>
      <c r="SG53" s="744">
        <f t="shared" ref="SG53:SG77" ca="1" si="386">SUMPRODUCT(KM53:LB53,$KM$19:$LB$19)</f>
        <v>0.10663136509920279</v>
      </c>
      <c r="SH53" s="744">
        <f t="shared" ref="SH53:SH77" ca="1" si="387">SUMPRODUCT(LC53:LR53,$KM$19:$LB$19)</f>
        <v>2.9065176818609852E-2</v>
      </c>
      <c r="SI53" s="744">
        <f t="shared" ref="SI53:SI77" ca="1" si="388">SUMPRODUCT(LS53:MH53,$KM$19:$LB$19)</f>
        <v>0.10978605311068734</v>
      </c>
      <c r="SJ53" s="744">
        <f t="shared" ref="SJ53:SJ77" ca="1" si="389">SUMPRODUCT(MI53:MX53,$KM$19:$LB$19)</f>
        <v>1.8517448863420821E-4</v>
      </c>
      <c r="SK53" s="744">
        <f t="shared" ref="SK53:SK77" ca="1" si="390">SUMPRODUCT(MY53:NN53,$KM$19:$LB$19)</f>
        <v>7.2201006801987197E-2</v>
      </c>
      <c r="SL53" s="744">
        <f t="shared" ref="SL53:SL77" ca="1" si="391">SUMPRODUCT(NO53:OD53,$KM$19:$LB$19)</f>
        <v>5.3213065287795929E-4</v>
      </c>
      <c r="SM53" s="744">
        <f t="shared" ref="SM53:SM77" ca="1" si="392">SUMPRODUCT(OE53:OT53,$KM$19:$LB$19)</f>
        <v>4.2773380465395715E-2</v>
      </c>
      <c r="SN53" s="744">
        <f t="shared" ref="SN53:SN77" ca="1" si="393">SUMPRODUCT(OU53:PJ53,$KM$19:$LB$19)</f>
        <v>0.15172527187645085</v>
      </c>
      <c r="SO53" s="744">
        <f t="shared" ref="SO53:SO77" ca="1" si="394">SUMPRODUCT(PK53:PZ53,$KM$19:$LB$19)</f>
        <v>0.15435645135195011</v>
      </c>
      <c r="SP53" s="100"/>
      <c r="SQ53" s="114"/>
      <c r="SR53" s="806">
        <f t="shared" ref="SR53:SR59" ca="1" si="395">RC53/QR53</f>
        <v>0.21862076480080281</v>
      </c>
      <c r="SS53" s="806">
        <f t="shared" ref="SS53:SS59" ca="1" si="396">RD53/QS53</f>
        <v>0.22270827205678059</v>
      </c>
      <c r="ST53" s="806">
        <f t="shared" ref="ST53:ST59" ca="1" si="397">RE53/QT53</f>
        <v>1.931750450519519E-2</v>
      </c>
      <c r="SU53" s="806">
        <f t="shared" ref="SU53:SU59" ca="1" si="398">RF53/QU53</f>
        <v>0.99830467946203016</v>
      </c>
      <c r="SV53" s="806">
        <f t="shared" ref="SV53:SV59" ca="1" si="399">RG53/QV53</f>
        <v>0.10787930736354062</v>
      </c>
      <c r="SW53" s="806">
        <f t="shared" ref="SW53:SW59" ca="1" si="400">RH53/QW53</f>
        <v>0.20358202036834741</v>
      </c>
      <c r="SX53" s="806">
        <f t="shared" ref="SX53:SX59" ca="1" si="401">RI53/QX53</f>
        <v>8.5795672703540007E-2</v>
      </c>
      <c r="SY53" s="806">
        <f t="shared" ref="SY53:SY59" ca="1" si="402">RJ53/QY53</f>
        <v>0.62129494328288837</v>
      </c>
      <c r="SZ53" s="806">
        <f t="shared" ref="SZ53:SZ59" ca="1" si="403">RK53/QZ53</f>
        <v>0.56412159173554599</v>
      </c>
      <c r="TA53" s="806"/>
      <c r="TB53" s="806">
        <f t="shared" ref="TB53:TB59" ca="1" si="404">RM53/QR53</f>
        <v>2.4780954048185207E-2</v>
      </c>
      <c r="TC53" s="806">
        <f t="shared" ref="TC53:TC59" ca="1" si="405">RN53/QS53</f>
        <v>0.17444814291075705</v>
      </c>
      <c r="TD53" s="806">
        <f t="shared" ref="TD53:TD59" ca="1" si="406">RO53/QT53</f>
        <v>0.97118677990148961</v>
      </c>
      <c r="TE53" s="806">
        <f t="shared" ref="TE53:TE59" ca="1" si="407">RP53/QU53</f>
        <v>0.99954468142833319</v>
      </c>
      <c r="TF53" s="806">
        <f t="shared" ref="TF53:TF59" ca="1" si="408">RQ53/QV53</f>
        <v>0.98617242371574509</v>
      </c>
      <c r="TG53" s="806">
        <f t="shared" ref="TG53:TG59" ca="1" si="409">RR53/QW53</f>
        <v>5.1168829953513753E-2</v>
      </c>
      <c r="TH53" s="806">
        <f t="shared" ref="TH53:TH59" ca="1" si="410">RS53/QX53</f>
        <v>0.99664703087602302</v>
      </c>
      <c r="TI53" s="806">
        <f t="shared" ref="TI53:TI59" ca="1" si="411">RT53/QY53</f>
        <v>0.3766197351268033</v>
      </c>
      <c r="TJ53" s="806">
        <f t="shared" ref="TJ53:TJ59" ca="1" si="412">RU53/QZ53</f>
        <v>0.10145260950494774</v>
      </c>
      <c r="TK53" s="806"/>
      <c r="TL53" s="806">
        <f t="shared" ref="TL53:TL59" ca="1" si="413">RW53/QR53</f>
        <v>0.24062339191598817</v>
      </c>
      <c r="TM53" s="806">
        <f t="shared" ref="TM53:TM59" ca="1" si="414">RX53/QS53</f>
        <v>0.77656712675244233</v>
      </c>
      <c r="TN53" s="806">
        <f t="shared" ref="TN53:TN59" ca="1" si="415">RY53/QT53</f>
        <v>3.9348971829211349E-2</v>
      </c>
      <c r="TO53" s="806">
        <f t="shared" ref="TO53:TO59" ca="1" si="416">RZ53/QU53</f>
        <v>1.231069532904664E-3</v>
      </c>
      <c r="TP53" s="806">
        <f t="shared" ref="TP53:TP59" ca="1" si="417">SA53/QV53</f>
        <v>0.90484997941716871</v>
      </c>
      <c r="TQ53" s="806">
        <f t="shared" ref="TQ53:TQ59" ca="1" si="418">SB53/QW53</f>
        <v>0.84178318914765426</v>
      </c>
      <c r="TR53" s="806">
        <f t="shared" ref="TR53:TR59" ca="1" si="419">SC53/QX53</f>
        <v>0.96736942265161763</v>
      </c>
      <c r="TS53" s="806">
        <f t="shared" ref="TS53:TS59" ca="1" si="420">SD53/QY53</f>
        <v>2.102494821806989E-2</v>
      </c>
      <c r="TT53" s="806">
        <f t="shared" ref="TT53:TT59" ca="1" si="421">SE53/QZ53</f>
        <v>0.12432691713729425</v>
      </c>
      <c r="TU53" s="806"/>
      <c r="TV53" s="806">
        <f t="shared" ref="TV53:TV59" ca="1" si="422">SG53/QR53</f>
        <v>0.9756677003712021</v>
      </c>
      <c r="TW53" s="806">
        <f t="shared" ca="1" si="313"/>
        <v>0.94972955418374805</v>
      </c>
      <c r="TX53" s="806">
        <f t="shared" ca="1" si="314"/>
        <v>0.77103081692995334</v>
      </c>
      <c r="TY53" s="806">
        <f t="shared" ca="1" si="315"/>
        <v>1.354225293158291E-3</v>
      </c>
      <c r="TZ53" s="806">
        <f t="shared" ca="1" si="316"/>
        <v>0.99891790861713736</v>
      </c>
      <c r="UA53" s="806">
        <f t="shared" ca="1" si="317"/>
        <v>7.6704593906329555E-2</v>
      </c>
      <c r="UB53" s="806">
        <f t="shared" ca="1" si="318"/>
        <v>0.97656231118644721</v>
      </c>
      <c r="UC53" s="806">
        <f t="shared" ca="1" si="319"/>
        <v>0.77330402495721018</v>
      </c>
      <c r="UD53" s="1439">
        <f t="shared" ca="1" si="320"/>
        <v>0.58969090229830845</v>
      </c>
    </row>
    <row r="54" spans="3:551" s="7" customFormat="1" x14ac:dyDescent="0.25">
      <c r="C54" s="21"/>
      <c r="D54" s="1308">
        <v>44029</v>
      </c>
      <c r="E54" s="233">
        <f t="shared" ca="1" si="321"/>
        <v>43</v>
      </c>
      <c r="F54" s="1392">
        <f t="shared" ca="1" si="321"/>
        <v>38</v>
      </c>
      <c r="G54" s="1392">
        <f t="shared" ca="1" si="321"/>
        <v>61</v>
      </c>
      <c r="H54" s="1392">
        <f t="shared" ca="1" si="321"/>
        <v>44</v>
      </c>
      <c r="I54" s="1392">
        <f t="shared" ca="1" si="321"/>
        <v>54</v>
      </c>
      <c r="J54" s="1392">
        <f t="shared" ca="1" si="321"/>
        <v>70</v>
      </c>
      <c r="K54" s="1392">
        <f t="shared" ca="1" si="321"/>
        <v>62</v>
      </c>
      <c r="L54" s="1392">
        <f t="shared" ca="1" si="321"/>
        <v>78</v>
      </c>
      <c r="M54" s="1392">
        <f t="shared" ca="1" si="321"/>
        <v>30</v>
      </c>
      <c r="N54" s="1392">
        <f t="shared" ca="1" si="321"/>
        <v>18</v>
      </c>
      <c r="O54" s="1392">
        <f t="shared" ca="1" si="322"/>
        <v>71</v>
      </c>
      <c r="P54" s="1392">
        <f t="shared" ca="1" si="322"/>
        <v>9</v>
      </c>
      <c r="Q54" s="1392">
        <f t="shared" ca="1" si="322"/>
        <v>20</v>
      </c>
      <c r="R54" s="1392">
        <f t="shared" ca="1" si="322"/>
        <v>59</v>
      </c>
      <c r="S54" s="1392">
        <f t="shared" ca="1" si="322"/>
        <v>37</v>
      </c>
      <c r="T54" s="1392">
        <f t="shared" ca="1" si="322"/>
        <v>69</v>
      </c>
      <c r="U54" s="1392">
        <f t="shared" ca="1" si="322"/>
        <v>63</v>
      </c>
      <c r="V54" s="1392">
        <f t="shared" ca="1" si="322"/>
        <v>17</v>
      </c>
      <c r="W54" s="1392">
        <f t="shared" ca="1" si="322"/>
        <v>42</v>
      </c>
      <c r="X54" s="1392">
        <f t="shared" ca="1" si="322"/>
        <v>26</v>
      </c>
      <c r="Y54" s="1392">
        <f t="shared" ca="1" si="323"/>
        <v>77</v>
      </c>
      <c r="Z54" s="1392">
        <f t="shared" ca="1" si="323"/>
        <v>43</v>
      </c>
      <c r="AA54" s="1392">
        <f t="shared" ca="1" si="323"/>
        <v>57</v>
      </c>
      <c r="AB54" s="1392">
        <f t="shared" ca="1" si="323"/>
        <v>53</v>
      </c>
      <c r="AC54" s="1392">
        <f t="shared" ca="1" si="323"/>
        <v>69</v>
      </c>
      <c r="AD54" s="1392">
        <f t="shared" ca="1" si="323"/>
        <v>31</v>
      </c>
      <c r="AE54" s="1392">
        <f t="shared" ca="1" si="323"/>
        <v>63</v>
      </c>
      <c r="AF54" s="1392">
        <f t="shared" ca="1" si="323"/>
        <v>22</v>
      </c>
      <c r="AG54" s="1392">
        <f t="shared" ca="1" si="323"/>
        <v>68</v>
      </c>
      <c r="AH54" s="1392">
        <f t="shared" ca="1" si="323"/>
        <v>78</v>
      </c>
      <c r="AI54" s="1392">
        <f t="shared" ca="1" si="324"/>
        <v>17</v>
      </c>
      <c r="AJ54" s="1392">
        <f t="shared" ca="1" si="324"/>
        <v>73</v>
      </c>
      <c r="AK54" s="1392">
        <f t="shared" ca="1" si="324"/>
        <v>73</v>
      </c>
      <c r="AL54" s="1392">
        <f t="shared" ca="1" si="324"/>
        <v>27</v>
      </c>
      <c r="AM54" s="1392">
        <f t="shared" ca="1" si="324"/>
        <v>18</v>
      </c>
      <c r="AN54" s="1392">
        <f t="shared" ca="1" si="324"/>
        <v>75</v>
      </c>
      <c r="AO54" s="1392">
        <f t="shared" ca="1" si="324"/>
        <v>48</v>
      </c>
      <c r="AP54" s="1392">
        <f t="shared" ca="1" si="324"/>
        <v>42</v>
      </c>
      <c r="AQ54" s="1392">
        <f t="shared" ca="1" si="324"/>
        <v>29</v>
      </c>
      <c r="AR54" s="1392">
        <f t="shared" ca="1" si="324"/>
        <v>51</v>
      </c>
      <c r="AS54" s="1392">
        <f t="shared" ca="1" si="325"/>
        <v>59</v>
      </c>
      <c r="AT54" s="1392">
        <f t="shared" ca="1" si="325"/>
        <v>41</v>
      </c>
      <c r="AU54" s="1392">
        <f t="shared" ca="1" si="325"/>
        <v>20</v>
      </c>
      <c r="AV54" s="1392">
        <f t="shared" ca="1" si="325"/>
        <v>69</v>
      </c>
      <c r="AW54" s="1392">
        <f t="shared" ca="1" si="325"/>
        <v>8</v>
      </c>
      <c r="AX54" s="1392">
        <f t="shared" ca="1" si="325"/>
        <v>17</v>
      </c>
      <c r="AY54" s="1392">
        <f t="shared" ca="1" si="325"/>
        <v>27</v>
      </c>
      <c r="AZ54" s="1392">
        <f t="shared" ca="1" si="325"/>
        <v>5</v>
      </c>
      <c r="BA54" s="1392">
        <f t="shared" ca="1" si="325"/>
        <v>29</v>
      </c>
      <c r="BB54" s="1392">
        <f t="shared" ca="1" si="325"/>
        <v>55</v>
      </c>
      <c r="BC54" s="1392">
        <f t="shared" ca="1" si="326"/>
        <v>31</v>
      </c>
      <c r="BD54" s="1392">
        <f t="shared" ca="1" si="326"/>
        <v>36</v>
      </c>
      <c r="BE54" s="1392">
        <f t="shared" ca="1" si="326"/>
        <v>36</v>
      </c>
      <c r="BF54" s="1392">
        <f t="shared" ca="1" si="326"/>
        <v>75</v>
      </c>
      <c r="BG54" s="1392">
        <f t="shared" ca="1" si="326"/>
        <v>19</v>
      </c>
      <c r="BH54" s="1392">
        <f t="shared" ca="1" si="326"/>
        <v>70</v>
      </c>
      <c r="BI54" s="1392">
        <f t="shared" ca="1" si="326"/>
        <v>64</v>
      </c>
      <c r="BJ54" s="1392">
        <f t="shared" ca="1" si="326"/>
        <v>20</v>
      </c>
      <c r="BK54" s="1392">
        <f t="shared" ca="1" si="326"/>
        <v>58</v>
      </c>
      <c r="BL54" s="1392">
        <f t="shared" ca="1" si="326"/>
        <v>11</v>
      </c>
      <c r="BM54" s="1392">
        <f t="shared" ca="1" si="327"/>
        <v>70</v>
      </c>
      <c r="BN54" s="1392">
        <f t="shared" ca="1" si="327"/>
        <v>73</v>
      </c>
      <c r="BO54" s="1392">
        <f t="shared" ca="1" si="327"/>
        <v>49</v>
      </c>
      <c r="BP54" s="1392">
        <f t="shared" ca="1" si="327"/>
        <v>54</v>
      </c>
      <c r="BQ54" s="1392">
        <f t="shared" ca="1" si="327"/>
        <v>74</v>
      </c>
      <c r="BR54" s="1392">
        <f t="shared" ca="1" si="327"/>
        <v>41</v>
      </c>
      <c r="BS54" s="1392">
        <f t="shared" ca="1" si="327"/>
        <v>60</v>
      </c>
      <c r="BT54" s="1392">
        <f t="shared" ca="1" si="327"/>
        <v>54</v>
      </c>
      <c r="BU54" s="1392">
        <f t="shared" ca="1" si="327"/>
        <v>16</v>
      </c>
      <c r="BV54" s="1392">
        <f t="shared" ca="1" si="327"/>
        <v>13</v>
      </c>
      <c r="BW54" s="1392">
        <f t="shared" ca="1" si="328"/>
        <v>13</v>
      </c>
      <c r="BX54" s="1392">
        <f t="shared" ca="1" si="328"/>
        <v>73</v>
      </c>
      <c r="BY54" s="1392">
        <f t="shared" ca="1" si="328"/>
        <v>48</v>
      </c>
      <c r="BZ54" s="1392">
        <f t="shared" ca="1" si="328"/>
        <v>35</v>
      </c>
      <c r="CA54" s="1392">
        <f t="shared" ca="1" si="328"/>
        <v>42</v>
      </c>
      <c r="CB54" s="1392">
        <f t="shared" ca="1" si="328"/>
        <v>54</v>
      </c>
      <c r="CC54" s="1392">
        <f t="shared" ca="1" si="328"/>
        <v>72</v>
      </c>
      <c r="CD54" s="1392">
        <f t="shared" ca="1" si="328"/>
        <v>21</v>
      </c>
      <c r="CE54" s="1392">
        <f t="shared" ca="1" si="328"/>
        <v>34</v>
      </c>
      <c r="CF54" s="1392">
        <f t="shared" ca="1" si="328"/>
        <v>25</v>
      </c>
      <c r="CG54" s="1392">
        <f t="shared" ca="1" si="329"/>
        <v>50</v>
      </c>
      <c r="CH54" s="1392">
        <f t="shared" ca="1" si="329"/>
        <v>12</v>
      </c>
      <c r="CI54" s="1392">
        <f t="shared" ca="1" si="329"/>
        <v>10</v>
      </c>
      <c r="CJ54" s="1392">
        <f t="shared" ca="1" si="329"/>
        <v>57</v>
      </c>
      <c r="CK54" s="1392">
        <f t="shared" ca="1" si="329"/>
        <v>47</v>
      </c>
      <c r="CL54" s="1392">
        <f t="shared" ca="1" si="329"/>
        <v>37</v>
      </c>
      <c r="CM54" s="1392">
        <f t="shared" ca="1" si="329"/>
        <v>37</v>
      </c>
      <c r="CN54" s="1392">
        <f t="shared" ca="1" si="329"/>
        <v>79</v>
      </c>
      <c r="CO54" s="1392">
        <f t="shared" ca="1" si="329"/>
        <v>37</v>
      </c>
      <c r="CP54" s="1392">
        <f t="shared" ca="1" si="329"/>
        <v>25</v>
      </c>
      <c r="CQ54" s="1392">
        <f t="shared" ca="1" si="330"/>
        <v>21</v>
      </c>
      <c r="CR54" s="1392">
        <f t="shared" ca="1" si="330"/>
        <v>71</v>
      </c>
      <c r="CS54" s="1392">
        <f t="shared" ca="1" si="330"/>
        <v>5</v>
      </c>
      <c r="CT54" s="1392">
        <f t="shared" ca="1" si="330"/>
        <v>44</v>
      </c>
      <c r="CU54" s="1392">
        <f t="shared" ca="1" si="330"/>
        <v>65</v>
      </c>
      <c r="CV54" s="1392">
        <f t="shared" ca="1" si="330"/>
        <v>78</v>
      </c>
      <c r="CW54" s="1392">
        <f t="shared" ca="1" si="330"/>
        <v>63</v>
      </c>
      <c r="CX54" s="1392">
        <f t="shared" ca="1" si="330"/>
        <v>65</v>
      </c>
      <c r="CY54" s="1392">
        <f t="shared" ca="1" si="330"/>
        <v>80</v>
      </c>
      <c r="CZ54" s="1392">
        <f t="shared" ca="1" si="330"/>
        <v>9</v>
      </c>
      <c r="DA54" s="1392">
        <f t="shared" ca="1" si="331"/>
        <v>42</v>
      </c>
      <c r="DB54" s="1392">
        <f t="shared" ca="1" si="331"/>
        <v>65</v>
      </c>
      <c r="DC54" s="1392">
        <f t="shared" ca="1" si="331"/>
        <v>38</v>
      </c>
      <c r="DD54" s="1392">
        <f t="shared" ca="1" si="331"/>
        <v>36</v>
      </c>
      <c r="DE54" s="1392">
        <f t="shared" ca="1" si="331"/>
        <v>58</v>
      </c>
      <c r="DF54" s="1392">
        <f t="shared" ca="1" si="331"/>
        <v>78</v>
      </c>
      <c r="DG54" s="1392">
        <f t="shared" ca="1" si="331"/>
        <v>8</v>
      </c>
      <c r="DH54" s="1392">
        <f t="shared" ca="1" si="331"/>
        <v>74</v>
      </c>
      <c r="DI54" s="1392">
        <f t="shared" ca="1" si="331"/>
        <v>22</v>
      </c>
      <c r="DJ54" s="1392">
        <f t="shared" ca="1" si="331"/>
        <v>49</v>
      </c>
      <c r="DK54" s="1392">
        <f t="shared" ca="1" si="332"/>
        <v>52</v>
      </c>
      <c r="DL54" s="1392">
        <f t="shared" ca="1" si="332"/>
        <v>9</v>
      </c>
      <c r="DM54" s="1392">
        <f t="shared" ca="1" si="332"/>
        <v>6</v>
      </c>
      <c r="DN54" s="1392">
        <f t="shared" ca="1" si="332"/>
        <v>55</v>
      </c>
      <c r="DO54" s="1392">
        <f t="shared" ca="1" si="332"/>
        <v>73</v>
      </c>
      <c r="DP54" s="1392">
        <f t="shared" ca="1" si="332"/>
        <v>35</v>
      </c>
      <c r="DQ54" s="1392">
        <f t="shared" ca="1" si="332"/>
        <v>34</v>
      </c>
      <c r="DR54" s="1392">
        <f t="shared" ca="1" si="332"/>
        <v>13</v>
      </c>
      <c r="DS54" s="1392">
        <f t="shared" ca="1" si="332"/>
        <v>5</v>
      </c>
      <c r="DT54" s="1392">
        <f t="shared" ca="1" si="332"/>
        <v>37</v>
      </c>
      <c r="DU54" s="1392">
        <f t="shared" ca="1" si="333"/>
        <v>53</v>
      </c>
      <c r="DV54" s="1392">
        <f t="shared" ca="1" si="333"/>
        <v>64</v>
      </c>
      <c r="DW54" s="1392">
        <f t="shared" ca="1" si="333"/>
        <v>48</v>
      </c>
      <c r="DX54" s="1392">
        <f t="shared" ca="1" si="333"/>
        <v>26</v>
      </c>
      <c r="DY54" s="1392">
        <f t="shared" ca="1" si="333"/>
        <v>23</v>
      </c>
      <c r="DZ54" s="1392">
        <f t="shared" ca="1" si="333"/>
        <v>69</v>
      </c>
      <c r="EA54" s="1392">
        <f t="shared" ca="1" si="333"/>
        <v>30</v>
      </c>
      <c r="EB54" s="1392">
        <f t="shared" ca="1" si="333"/>
        <v>37</v>
      </c>
      <c r="EC54" s="1392">
        <f t="shared" ca="1" si="333"/>
        <v>79</v>
      </c>
      <c r="ED54" s="1392">
        <f t="shared" ca="1" si="333"/>
        <v>54</v>
      </c>
      <c r="EE54" s="1392">
        <f t="shared" ca="1" si="334"/>
        <v>64</v>
      </c>
      <c r="EF54" s="1392">
        <f t="shared" ca="1" si="334"/>
        <v>10</v>
      </c>
      <c r="EG54" s="1392">
        <f t="shared" ca="1" si="334"/>
        <v>52</v>
      </c>
      <c r="EH54" s="1392">
        <f t="shared" ca="1" si="334"/>
        <v>61</v>
      </c>
      <c r="EI54" s="1392">
        <f t="shared" ca="1" si="334"/>
        <v>9</v>
      </c>
      <c r="EJ54" s="1392">
        <f t="shared" ca="1" si="334"/>
        <v>29</v>
      </c>
      <c r="EK54" s="1392">
        <f t="shared" ca="1" si="334"/>
        <v>60</v>
      </c>
      <c r="EL54" s="1392">
        <f t="shared" ca="1" si="334"/>
        <v>33</v>
      </c>
      <c r="EM54" s="1392">
        <f t="shared" ca="1" si="334"/>
        <v>5</v>
      </c>
      <c r="EN54" s="1392">
        <f t="shared" ca="1" si="334"/>
        <v>45</v>
      </c>
      <c r="EO54" s="1392">
        <f t="shared" ca="1" si="334"/>
        <v>19</v>
      </c>
      <c r="EP54" s="1392">
        <f t="shared" ca="1" si="334"/>
        <v>46</v>
      </c>
      <c r="EQ54" s="1392">
        <f t="shared" ca="1" si="334"/>
        <v>73</v>
      </c>
      <c r="ER54" s="1393">
        <f t="shared" ca="1" si="334"/>
        <v>75</v>
      </c>
      <c r="ES54" s="377"/>
      <c r="ET54" s="316">
        <f t="shared" ca="1" si="335"/>
        <v>46630.028453524326</v>
      </c>
      <c r="EU54" s="1392">
        <f t="shared" ca="1" si="20"/>
        <v>13359.726829661873</v>
      </c>
      <c r="EV54" s="1392">
        <f t="shared" ca="1" si="21"/>
        <v>4197501.3938479675</v>
      </c>
      <c r="EW54" s="1392">
        <f t="shared" ca="1" si="22"/>
        <v>59874.141715197817</v>
      </c>
      <c r="EX54" s="1392">
        <f t="shared" ca="1" si="23"/>
        <v>729416.36984770128</v>
      </c>
      <c r="EY54" s="1392">
        <f t="shared" ca="1" si="24"/>
        <v>39824784.397576228</v>
      </c>
      <c r="EZ54" s="1392">
        <f t="shared" ca="1" si="25"/>
        <v>5389698.476283012</v>
      </c>
      <c r="FA54" s="1392">
        <f t="shared" ca="1" si="26"/>
        <v>294267566.04150879</v>
      </c>
      <c r="FB54" s="1392">
        <f t="shared" ca="1" si="27"/>
        <v>1808.0424144560632</v>
      </c>
      <c r="FC54" s="1392">
        <f t="shared" ca="1" si="28"/>
        <v>90.017131300521811</v>
      </c>
      <c r="FD54" s="1392">
        <f t="shared" ca="1" si="29"/>
        <v>51136035.380597278</v>
      </c>
      <c r="FE54" s="1392">
        <f t="shared" ca="1" si="30"/>
        <v>9.4877358363585262</v>
      </c>
      <c r="FF54" s="1392">
        <f t="shared" ca="1" si="31"/>
        <v>148.4131591025766</v>
      </c>
      <c r="FG54" s="1392">
        <f t="shared" ca="1" si="32"/>
        <v>2545913.2895553061</v>
      </c>
      <c r="FH54" s="1392">
        <f t="shared" ca="1" si="33"/>
        <v>10404.565716560723</v>
      </c>
      <c r="FI54" s="1392">
        <f t="shared" ca="1" si="34"/>
        <v>31015573.274482232</v>
      </c>
      <c r="FJ54" s="1392">
        <f t="shared" ca="1" si="35"/>
        <v>6920509.8318305807</v>
      </c>
      <c r="FK54" s="1392">
        <f t="shared" ca="1" si="36"/>
        <v>70.105412346687856</v>
      </c>
      <c r="FL54" s="1392">
        <f t="shared" ca="1" si="37"/>
        <v>36315.502674246636</v>
      </c>
      <c r="FM54" s="1392">
        <f t="shared" ca="1" si="38"/>
        <v>665.14163304436181</v>
      </c>
      <c r="FN54" s="1392">
        <f t="shared" ca="1" si="39"/>
        <v>229175810.86564341</v>
      </c>
      <c r="FO54" s="1392">
        <f t="shared" ca="1" si="40"/>
        <v>46630.028453524326</v>
      </c>
      <c r="FP54" s="1392">
        <f t="shared" ca="1" si="41"/>
        <v>1544174.4670851405</v>
      </c>
      <c r="FQ54" s="1392">
        <f t="shared" ca="1" si="42"/>
        <v>568070.04002249124</v>
      </c>
      <c r="FR54" s="1392">
        <f t="shared" ca="1" si="43"/>
        <v>31015573.274482232</v>
      </c>
      <c r="FS54" s="1392">
        <f t="shared" ca="1" si="44"/>
        <v>2321.572414611057</v>
      </c>
      <c r="FT54" s="1392">
        <f t="shared" ca="1" si="45"/>
        <v>6920509.8318305807</v>
      </c>
      <c r="FU54" s="1392">
        <f t="shared" ca="1" si="46"/>
        <v>244.69193226422038</v>
      </c>
      <c r="FV54" s="1392">
        <f t="shared" ca="1" si="47"/>
        <v>24154952.753575299</v>
      </c>
      <c r="FW54" s="1392">
        <f t="shared" ca="1" si="48"/>
        <v>294267566.04150879</v>
      </c>
      <c r="FX54" s="1392">
        <f t="shared" ca="1" si="49"/>
        <v>70.105412346687856</v>
      </c>
      <c r="FY54" s="1392">
        <f t="shared" ca="1" si="50"/>
        <v>84309069.231265053</v>
      </c>
      <c r="FZ54" s="1392">
        <f t="shared" ca="1" si="51"/>
        <v>84309069.231265053</v>
      </c>
      <c r="GA54" s="1392">
        <f t="shared" ca="1" si="52"/>
        <v>854.05876252615155</v>
      </c>
      <c r="GB54" s="1392">
        <f t="shared" ca="1" si="53"/>
        <v>90.017131300521811</v>
      </c>
      <c r="GC54" s="1392">
        <f t="shared" ca="1" si="54"/>
        <v>139002155.75451639</v>
      </c>
      <c r="GD54" s="1392">
        <f t="shared" ca="1" si="55"/>
        <v>162754.79141900392</v>
      </c>
      <c r="GE54" s="1392">
        <f t="shared" ca="1" si="56"/>
        <v>36315.502674246636</v>
      </c>
      <c r="GF54" s="1392">
        <f t="shared" ca="1" si="57"/>
        <v>1408.1048482046956</v>
      </c>
      <c r="GG54" s="1392">
        <f t="shared" ca="1" si="58"/>
        <v>344551.8961378237</v>
      </c>
      <c r="GH54" s="1392">
        <f t="shared" ca="1" si="59"/>
        <v>2545913.2895553061</v>
      </c>
      <c r="GI54" s="1392">
        <f t="shared" ca="1" si="60"/>
        <v>28282.541920334977</v>
      </c>
      <c r="GJ54" s="1392">
        <f t="shared" ca="1" si="61"/>
        <v>148.4131591025766</v>
      </c>
      <c r="GK54" s="1392">
        <f t="shared" ca="1" si="62"/>
        <v>31015573.274482232</v>
      </c>
      <c r="GL54" s="1392">
        <f t="shared" ca="1" si="63"/>
        <v>7.3890560989306504</v>
      </c>
      <c r="GM54" s="1392">
        <f t="shared" ca="1" si="64"/>
        <v>70.105412346687856</v>
      </c>
      <c r="GN54" s="1392">
        <f t="shared" ca="1" si="65"/>
        <v>854.05876252615155</v>
      </c>
      <c r="GO54" s="1392">
        <f t="shared" ca="1" si="66"/>
        <v>3.4903429574618414</v>
      </c>
      <c r="GP54" s="1392">
        <f t="shared" ca="1" si="67"/>
        <v>1408.1048482046956</v>
      </c>
      <c r="GQ54" s="1392">
        <f t="shared" ca="1" si="68"/>
        <v>936589.15823255444</v>
      </c>
      <c r="GR54" s="1392">
        <f t="shared" ca="1" si="69"/>
        <v>2321.572414611057</v>
      </c>
      <c r="GS54" s="1392">
        <f t="shared" ca="1" si="70"/>
        <v>8103.0839275753842</v>
      </c>
      <c r="GT54" s="1392">
        <f t="shared" ca="1" si="71"/>
        <v>8103.0839275753842</v>
      </c>
      <c r="GU54" s="1392">
        <f t="shared" ca="1" si="72"/>
        <v>139002155.75451639</v>
      </c>
      <c r="GV54" s="1392">
        <f t="shared" ca="1" si="73"/>
        <v>115.58428452718766</v>
      </c>
      <c r="GW54" s="1392">
        <f t="shared" ca="1" si="74"/>
        <v>39824784.397576228</v>
      </c>
      <c r="GX54" s="1392">
        <f t="shared" ca="1" si="75"/>
        <v>8886110.5205078721</v>
      </c>
      <c r="GY54" s="1392">
        <f t="shared" ca="1" si="76"/>
        <v>148.4131591025766</v>
      </c>
      <c r="GZ54" s="1392">
        <f t="shared" ca="1" si="77"/>
        <v>1982759.2635375687</v>
      </c>
      <c r="HA54" s="1392">
        <f t="shared" ca="1" si="78"/>
        <v>15.642631884188171</v>
      </c>
      <c r="HB54" s="1392">
        <f t="shared" ca="1" si="79"/>
        <v>39824784.397576228</v>
      </c>
      <c r="HC54" s="1392">
        <f t="shared" ca="1" si="80"/>
        <v>84309069.231265053</v>
      </c>
      <c r="HD54" s="1392">
        <f t="shared" ca="1" si="81"/>
        <v>208981.28886971297</v>
      </c>
      <c r="HE54" s="1392">
        <f t="shared" ca="1" si="82"/>
        <v>729416.36984770128</v>
      </c>
      <c r="HF54" s="1392">
        <f t="shared" ca="1" si="83"/>
        <v>108254987.75023076</v>
      </c>
      <c r="HG54" s="1392">
        <f t="shared" ca="1" si="84"/>
        <v>28282.541920334977</v>
      </c>
      <c r="HH54" s="1392">
        <f t="shared" ca="1" si="85"/>
        <v>3269017.3724721107</v>
      </c>
      <c r="HI54" s="1392">
        <f t="shared" ca="1" si="86"/>
        <v>729416.36984770128</v>
      </c>
      <c r="HJ54" s="1392">
        <f t="shared" ca="1" si="87"/>
        <v>54.598150033144236</v>
      </c>
      <c r="HK54" s="1392">
        <f t="shared" ca="1" si="88"/>
        <v>25.790339917193062</v>
      </c>
      <c r="HL54" s="1392">
        <f t="shared" ca="1" si="89"/>
        <v>25.790339917193062</v>
      </c>
      <c r="HM54" s="1392">
        <f t="shared" ca="1" si="90"/>
        <v>84309069.231265053</v>
      </c>
      <c r="HN54" s="1392">
        <f t="shared" ca="1" si="91"/>
        <v>162754.79141900392</v>
      </c>
      <c r="HO54" s="1392">
        <f t="shared" ca="1" si="92"/>
        <v>6310.6881080890244</v>
      </c>
      <c r="HP54" s="1392">
        <f t="shared" ca="1" si="93"/>
        <v>36315.502674246636</v>
      </c>
      <c r="HQ54" s="1392">
        <f t="shared" ca="1" si="94"/>
        <v>729416.36984770128</v>
      </c>
      <c r="HR54" s="1392">
        <f t="shared" ca="1" si="95"/>
        <v>65659969.13733051</v>
      </c>
      <c r="HS54" s="1392">
        <f t="shared" ca="1" si="96"/>
        <v>190.56626845862999</v>
      </c>
      <c r="HT54" s="1392">
        <f t="shared" ca="1" si="97"/>
        <v>4914.7688402991344</v>
      </c>
      <c r="HU54" s="1392">
        <f t="shared" ca="1" si="98"/>
        <v>518.01282466834198</v>
      </c>
      <c r="HV54" s="1392">
        <f t="shared" ca="1" si="99"/>
        <v>268337.28652087448</v>
      </c>
      <c r="HW54" s="1392">
        <f t="shared" ca="1" si="100"/>
        <v>20.085536923187668</v>
      </c>
      <c r="HX54" s="1392">
        <f t="shared" ca="1" si="101"/>
        <v>12.182493960703473</v>
      </c>
      <c r="HY54" s="1392">
        <f t="shared" ca="1" si="102"/>
        <v>1544174.4670851405</v>
      </c>
      <c r="HZ54" s="1392">
        <f t="shared" ca="1" si="103"/>
        <v>126753.55900574342</v>
      </c>
      <c r="IA54" s="1392">
        <f t="shared" ca="1" si="104"/>
        <v>10404.565716560723</v>
      </c>
      <c r="IB54" s="1392">
        <f t="shared" ca="1" si="105"/>
        <v>10404.565716560723</v>
      </c>
      <c r="IC54" s="1392">
        <f t="shared" ca="1" si="106"/>
        <v>377847034.10413581</v>
      </c>
      <c r="ID54" s="1392">
        <f t="shared" ca="1" si="107"/>
        <v>10404.565716560723</v>
      </c>
      <c r="IE54" s="1392">
        <f t="shared" ca="1" si="108"/>
        <v>518.01282466834198</v>
      </c>
      <c r="IF54" s="1392">
        <f t="shared" ca="1" si="109"/>
        <v>190.56626845862999</v>
      </c>
      <c r="IG54" s="1392">
        <f t="shared" ca="1" si="110"/>
        <v>51136035.380597278</v>
      </c>
      <c r="IH54" s="1392">
        <f t="shared" ca="1" si="111"/>
        <v>3.4903429574618414</v>
      </c>
      <c r="II54" s="1392">
        <f t="shared" ca="1" si="112"/>
        <v>59874.141715197817</v>
      </c>
      <c r="IJ54" s="1392">
        <f t="shared" ca="1" si="113"/>
        <v>11409991.763828445</v>
      </c>
      <c r="IK54" s="1392">
        <f t="shared" ca="1" si="114"/>
        <v>294267566.04150879</v>
      </c>
      <c r="IL54" s="1392">
        <f t="shared" ca="1" si="115"/>
        <v>6920509.8318305807</v>
      </c>
      <c r="IM54" s="1392">
        <f t="shared" ca="1" si="116"/>
        <v>11409991.763828445</v>
      </c>
      <c r="IN54" s="1392">
        <f t="shared" ca="1" si="117"/>
        <v>485165195.40979028</v>
      </c>
      <c r="IO54" s="1392">
        <f t="shared" ca="1" si="118"/>
        <v>9.4877358363585262</v>
      </c>
      <c r="IP54" s="1392">
        <f t="shared" ca="1" si="119"/>
        <v>36315.502674246636</v>
      </c>
      <c r="IQ54" s="1392">
        <f t="shared" ca="1" si="120"/>
        <v>11409991.763828445</v>
      </c>
      <c r="IR54" s="1392">
        <f t="shared" ca="1" si="121"/>
        <v>13359.726829661873</v>
      </c>
      <c r="IS54" s="1392">
        <f t="shared" ca="1" si="122"/>
        <v>8103.0839275753842</v>
      </c>
      <c r="IT54" s="1392">
        <f t="shared" ca="1" si="123"/>
        <v>1982759.2635375687</v>
      </c>
      <c r="IU54" s="1392">
        <f t="shared" ca="1" si="124"/>
        <v>294267566.04150879</v>
      </c>
      <c r="IV54" s="1392">
        <f t="shared" ca="1" si="125"/>
        <v>7.3890560989306504</v>
      </c>
      <c r="IW54" s="1392">
        <f t="shared" ca="1" si="126"/>
        <v>108254987.75023076</v>
      </c>
      <c r="IX54" s="1392">
        <f t="shared" ca="1" si="127"/>
        <v>244.69193226422038</v>
      </c>
      <c r="IY54" s="1392">
        <f t="shared" ca="1" si="128"/>
        <v>208981.28886971297</v>
      </c>
      <c r="IZ54" s="1392">
        <f t="shared" ca="1" si="129"/>
        <v>442413.39200892049</v>
      </c>
      <c r="JA54" s="1392">
        <f t="shared" ca="1" si="130"/>
        <v>9.4877358363585262</v>
      </c>
      <c r="JB54" s="1392">
        <f t="shared" ca="1" si="131"/>
        <v>4.4816890703380645</v>
      </c>
      <c r="JC54" s="1392">
        <f t="shared" ca="1" si="132"/>
        <v>936589.15823255444</v>
      </c>
      <c r="JD54" s="1392">
        <f t="shared" ca="1" si="133"/>
        <v>84309069.231265053</v>
      </c>
      <c r="JE54" s="1392">
        <f t="shared" ca="1" si="134"/>
        <v>6310.6881080890244</v>
      </c>
      <c r="JF54" s="1392">
        <f t="shared" ca="1" si="135"/>
        <v>4914.7688402991344</v>
      </c>
      <c r="JG54" s="1392">
        <f t="shared" ca="1" si="136"/>
        <v>25.790339917193062</v>
      </c>
      <c r="JH54" s="1392">
        <f t="shared" ca="1" si="137"/>
        <v>3.4903429574618414</v>
      </c>
      <c r="JI54" s="1392">
        <f t="shared" ca="1" si="138"/>
        <v>10404.565716560723</v>
      </c>
      <c r="JJ54" s="1392">
        <f t="shared" ca="1" si="139"/>
        <v>568070.04002249124</v>
      </c>
      <c r="JK54" s="1392">
        <f t="shared" ca="1" si="140"/>
        <v>8886110.5205078721</v>
      </c>
      <c r="JL54" s="1392">
        <f t="shared" ca="1" si="141"/>
        <v>162754.79141900392</v>
      </c>
      <c r="JM54" s="1392">
        <f t="shared" ca="1" si="142"/>
        <v>665.14163304436181</v>
      </c>
      <c r="JN54" s="1392">
        <f t="shared" ca="1" si="143"/>
        <v>314.19066028569421</v>
      </c>
      <c r="JO54" s="1392">
        <f t="shared" ca="1" si="144"/>
        <v>31015573.274482232</v>
      </c>
      <c r="JP54" s="1392">
        <f t="shared" ca="1" si="145"/>
        <v>1808.0424144560632</v>
      </c>
      <c r="JQ54" s="1392">
        <f t="shared" ca="1" si="146"/>
        <v>10404.565716560723</v>
      </c>
      <c r="JR54" s="1392">
        <f t="shared" ca="1" si="147"/>
        <v>377847034.10413581</v>
      </c>
      <c r="JS54" s="1392">
        <f t="shared" ca="1" si="148"/>
        <v>729416.36984770128</v>
      </c>
      <c r="JT54" s="1392">
        <f t="shared" ca="1" si="149"/>
        <v>8886110.5205078721</v>
      </c>
      <c r="JU54" s="1392">
        <f t="shared" ca="1" si="150"/>
        <v>12.182493960703473</v>
      </c>
      <c r="JV54" s="1392">
        <f t="shared" ca="1" si="151"/>
        <v>442413.39200892049</v>
      </c>
      <c r="JW54" s="1392">
        <f t="shared" ca="1" si="152"/>
        <v>4197501.3938479675</v>
      </c>
      <c r="JX54" s="1392">
        <f t="shared" ca="1" si="153"/>
        <v>9.4877358363585262</v>
      </c>
      <c r="JY54" s="1392">
        <f t="shared" ca="1" si="154"/>
        <v>1408.1048482046956</v>
      </c>
      <c r="JZ54" s="1392">
        <f t="shared" ca="1" si="155"/>
        <v>3269017.3724721107</v>
      </c>
      <c r="KA54" s="1392">
        <f t="shared" ca="1" si="156"/>
        <v>3827.6258214399063</v>
      </c>
      <c r="KB54" s="1392">
        <f t="shared" ca="1" si="157"/>
        <v>3.4903429574618414</v>
      </c>
      <c r="KC54" s="1392">
        <f t="shared" ca="1" si="158"/>
        <v>76879.919764677761</v>
      </c>
      <c r="KD54" s="1392">
        <f t="shared" ca="1" si="159"/>
        <v>115.58428452718766</v>
      </c>
      <c r="KE54" s="1392">
        <f t="shared" ca="1" si="160"/>
        <v>98715.771010760494</v>
      </c>
      <c r="KF54" s="1392">
        <f t="shared" ca="1" si="161"/>
        <v>84309069.231265053</v>
      </c>
      <c r="KG54" s="1399">
        <f t="shared" ca="1" si="162"/>
        <v>139002155.75451639</v>
      </c>
      <c r="KH54" s="1406">
        <f t="shared" ca="1" si="163"/>
        <v>4346154437.3011112</v>
      </c>
      <c r="KI54" s="377"/>
      <c r="KJ54" s="1444">
        <f t="shared" ca="1" si="164"/>
        <v>88.770229014613776</v>
      </c>
      <c r="KK54" s="49">
        <f t="shared" ca="1" si="165"/>
        <v>2.804337656009551</v>
      </c>
      <c r="KL54" s="377"/>
      <c r="KM54" s="908">
        <f t="shared" ca="1" si="166"/>
        <v>1.0729031636179221E-5</v>
      </c>
      <c r="KN54" s="1411">
        <f t="shared" ca="1" si="167"/>
        <v>3.0739190294300812E-6</v>
      </c>
      <c r="KO54" s="1411">
        <f t="shared" ca="1" si="168"/>
        <v>9.6579664952139738E-4</v>
      </c>
      <c r="KP54" s="1411">
        <f t="shared" ca="1" si="169"/>
        <v>1.3776349317300986E-5</v>
      </c>
      <c r="KQ54" s="1411">
        <f t="shared" ca="1" si="170"/>
        <v>1.6783029235856067E-4</v>
      </c>
      <c r="KR54" s="1411">
        <f t="shared" ca="1" si="171"/>
        <v>9.1632234822991588E-3</v>
      </c>
      <c r="KS54" s="1411">
        <f t="shared" ca="1" si="172"/>
        <v>1.2401074453373369E-3</v>
      </c>
      <c r="KT54" s="1411">
        <f t="shared" ca="1" si="173"/>
        <v>6.7707572357747145E-2</v>
      </c>
      <c r="KU54" s="1411">
        <f t="shared" ca="1" si="174"/>
        <v>4.1600970249433362E-7</v>
      </c>
      <c r="KV54" s="1411">
        <f t="shared" ca="1" si="175"/>
        <v>2.0711903499780127E-8</v>
      </c>
      <c r="KW54" s="1411">
        <f t="shared" ca="1" si="176"/>
        <v>1.1765811850062074E-2</v>
      </c>
      <c r="KX54" s="1411">
        <f t="shared" ca="1" si="177"/>
        <v>2.1830185680769898E-9</v>
      </c>
      <c r="KY54" s="1411">
        <f t="shared" ca="1" si="178"/>
        <v>3.4148155856775919E-8</v>
      </c>
      <c r="KZ54" s="1411">
        <f t="shared" ca="1" si="179"/>
        <v>5.8578527898246421E-4</v>
      </c>
      <c r="LA54" s="1411">
        <f t="shared" ca="1" si="180"/>
        <v>2.39397054721824E-6</v>
      </c>
      <c r="LB54" s="1411">
        <f t="shared" ca="1" si="181"/>
        <v>7.1363256234728695E-3</v>
      </c>
      <c r="LC54" s="1411">
        <f t="shared" ca="1" si="182"/>
        <v>1.5923294792368448E-3</v>
      </c>
      <c r="LD54" s="1411">
        <f t="shared" ca="1" si="183"/>
        <v>1.6130446664528134E-8</v>
      </c>
      <c r="LE54" s="1411">
        <f t="shared" ca="1" si="184"/>
        <v>8.355778239854254E-6</v>
      </c>
      <c r="LF54" s="1411">
        <f t="shared" ca="1" si="185"/>
        <v>1.5304141687551342E-7</v>
      </c>
      <c r="LG54" s="1411">
        <f t="shared" ca="1" si="186"/>
        <v>5.2730710372077286E-2</v>
      </c>
      <c r="LH54" s="1411">
        <f t="shared" ca="1" si="187"/>
        <v>1.0729031636179221E-5</v>
      </c>
      <c r="LI54" s="1411">
        <f t="shared" ca="1" si="188"/>
        <v>3.5529673171118303E-4</v>
      </c>
      <c r="LJ54" s="1411">
        <f t="shared" ca="1" si="189"/>
        <v>1.3070636311194987E-4</v>
      </c>
      <c r="LK54" s="1411">
        <f t="shared" ca="1" si="190"/>
        <v>7.1363256234728695E-3</v>
      </c>
      <c r="LL54" s="1411">
        <f t="shared" ca="1" si="191"/>
        <v>5.3416703159143012E-7</v>
      </c>
      <c r="LM54" s="1411">
        <f t="shared" ca="1" si="192"/>
        <v>1.5923294792368448E-3</v>
      </c>
      <c r="LN54" s="1411">
        <f t="shared" ca="1" si="193"/>
        <v>5.6300790916249623E-8</v>
      </c>
      <c r="LO54" s="1411">
        <f t="shared" ca="1" si="194"/>
        <v>5.5577759838132028E-3</v>
      </c>
      <c r="LP54" s="1411">
        <f t="shared" ca="1" si="195"/>
        <v>6.7707572357747145E-2</v>
      </c>
      <c r="LQ54" s="1411">
        <f t="shared" ca="1" si="196"/>
        <v>1.6130446664528134E-8</v>
      </c>
      <c r="LR54" s="1411">
        <f t="shared" ca="1" si="197"/>
        <v>1.9398544264252967E-2</v>
      </c>
      <c r="LS54" s="1411">
        <f t="shared" ca="1" si="198"/>
        <v>1.9398544264252967E-2</v>
      </c>
      <c r="LT54" s="1411">
        <f t="shared" ca="1" si="199"/>
        <v>1.9650906907406349E-7</v>
      </c>
      <c r="LU54" s="1411">
        <f t="shared" ca="1" si="200"/>
        <v>2.0711903499780127E-8</v>
      </c>
      <c r="LV54" s="1411">
        <f t="shared" ca="1" si="201"/>
        <v>3.1982792549091837E-2</v>
      </c>
      <c r="LW54" s="1411">
        <f t="shared" ca="1" si="202"/>
        <v>3.7448000011723442E-5</v>
      </c>
      <c r="LX54" s="1411">
        <f t="shared" ca="1" si="203"/>
        <v>8.355778239854254E-6</v>
      </c>
      <c r="LY54" s="1411">
        <f t="shared" ca="1" si="204"/>
        <v>3.2398868206788918E-7</v>
      </c>
      <c r="LZ54" s="1411">
        <f t="shared" ca="1" si="205"/>
        <v>7.9277416646929977E-5</v>
      </c>
      <c r="MA54" s="1411">
        <f t="shared" ca="1" si="206"/>
        <v>5.8578527898246421E-4</v>
      </c>
      <c r="MB54" s="1411">
        <f t="shared" ca="1" si="207"/>
        <v>6.507486636369498E-6</v>
      </c>
      <c r="MC54" s="1411">
        <f t="shared" ca="1" si="208"/>
        <v>3.4148155856775919E-8</v>
      </c>
      <c r="MD54" s="1411">
        <f t="shared" ca="1" si="209"/>
        <v>7.1363256234728695E-3</v>
      </c>
      <c r="ME54" s="1411">
        <f t="shared" ca="1" si="210"/>
        <v>1.7001365702777765E-9</v>
      </c>
      <c r="MF54" s="1411">
        <f t="shared" ca="1" si="211"/>
        <v>1.6130446664528134E-8</v>
      </c>
      <c r="MG54" s="1411">
        <f t="shared" ca="1" si="212"/>
        <v>1.9650906907406349E-7</v>
      </c>
      <c r="MH54" s="1411">
        <f t="shared" ca="1" si="213"/>
        <v>8.030876508910451E-10</v>
      </c>
      <c r="MI54" s="1411">
        <f t="shared" ca="1" si="214"/>
        <v>3.2398868206788918E-7</v>
      </c>
      <c r="MJ54" s="1411">
        <f t="shared" ca="1" si="215"/>
        <v>2.1549836107852637E-4</v>
      </c>
      <c r="MK54" s="1411">
        <f t="shared" ca="1" si="216"/>
        <v>5.3416703159143012E-7</v>
      </c>
      <c r="ML54" s="1411">
        <f t="shared" ca="1" si="217"/>
        <v>1.864426136823445E-6</v>
      </c>
      <c r="MM54" s="1411">
        <f t="shared" ca="1" si="218"/>
        <v>1.864426136823445E-6</v>
      </c>
      <c r="MN54" s="1411">
        <f t="shared" ca="1" si="219"/>
        <v>3.1982792549091837E-2</v>
      </c>
      <c r="MO54" s="1411">
        <f t="shared" ca="1" si="220"/>
        <v>2.6594610521701468E-8</v>
      </c>
      <c r="MP54" s="1411">
        <f t="shared" ca="1" si="221"/>
        <v>9.1632234822991588E-3</v>
      </c>
      <c r="MQ54" s="1411">
        <f t="shared" ca="1" si="222"/>
        <v>2.0445915230812638E-3</v>
      </c>
      <c r="MR54" s="1411">
        <f t="shared" ca="1" si="223"/>
        <v>3.4148155856775919E-8</v>
      </c>
      <c r="MS54" s="1411">
        <f t="shared" ca="1" si="224"/>
        <v>4.5621003398324447E-4</v>
      </c>
      <c r="MT54" s="1411">
        <f t="shared" ca="1" si="225"/>
        <v>3.5991891475218682E-9</v>
      </c>
      <c r="MU54" s="1411">
        <f t="shared" ca="1" si="226"/>
        <v>9.1632234822991588E-3</v>
      </c>
      <c r="MV54" s="1411">
        <f t="shared" ca="1" si="227"/>
        <v>1.9398544264252967E-2</v>
      </c>
      <c r="MW54" s="1411">
        <f t="shared" ca="1" si="228"/>
        <v>4.8084183819175744E-5</v>
      </c>
      <c r="MX54" s="1411">
        <f t="shared" ca="1" si="229"/>
        <v>1.6783029235856067E-4</v>
      </c>
      <c r="MY54" s="1411">
        <f t="shared" ca="1" si="230"/>
        <v>2.4908223882043015E-2</v>
      </c>
      <c r="MZ54" s="1411">
        <f t="shared" ca="1" si="231"/>
        <v>6.507486636369498E-6</v>
      </c>
      <c r="NA54" s="1411">
        <f t="shared" ca="1" si="232"/>
        <v>7.5216318693500353E-4</v>
      </c>
      <c r="NB54" s="1411">
        <f t="shared" ca="1" si="233"/>
        <v>1.6783029235856067E-4</v>
      </c>
      <c r="NC54" s="1411">
        <f t="shared" ca="1" si="234"/>
        <v>1.2562404493626041E-8</v>
      </c>
      <c r="ND54" s="1411">
        <f t="shared" ca="1" si="235"/>
        <v>5.9340597047923656E-9</v>
      </c>
      <c r="NE54" s="1411">
        <f t="shared" ca="1" si="236"/>
        <v>5.9340597047923656E-9</v>
      </c>
      <c r="NF54" s="1411">
        <f t="shared" ca="1" si="237"/>
        <v>1.9398544264252967E-2</v>
      </c>
      <c r="NG54" s="1411">
        <f t="shared" ca="1" si="238"/>
        <v>3.7448000011723442E-5</v>
      </c>
      <c r="NH54" s="1411">
        <f t="shared" ca="1" si="239"/>
        <v>1.4520165353368931E-6</v>
      </c>
      <c r="NI54" s="1411">
        <f t="shared" ca="1" si="240"/>
        <v>8.355778239854254E-6</v>
      </c>
      <c r="NJ54" s="1411">
        <f t="shared" ca="1" si="241"/>
        <v>1.6783029235856067E-4</v>
      </c>
      <c r="NK54" s="1411">
        <f t="shared" ca="1" si="242"/>
        <v>1.510760146344552E-2</v>
      </c>
      <c r="NL54" s="1411">
        <f t="shared" ca="1" si="243"/>
        <v>4.3847100053114644E-8</v>
      </c>
      <c r="NM54" s="1411">
        <f t="shared" ca="1" si="244"/>
        <v>1.1308316147530006E-6</v>
      </c>
      <c r="NN54" s="1411">
        <f t="shared" ca="1" si="245"/>
        <v>1.1918877530500715E-7</v>
      </c>
      <c r="NO54" s="1411">
        <f t="shared" ca="1" si="246"/>
        <v>6.1741314164507103E-5</v>
      </c>
      <c r="NP54" s="1411">
        <f t="shared" ca="1" si="247"/>
        <v>4.621450344884764E-9</v>
      </c>
      <c r="NQ54" s="1411">
        <f t="shared" ca="1" si="248"/>
        <v>2.8030513265121331E-9</v>
      </c>
      <c r="NR54" s="1411">
        <f t="shared" ca="1" si="249"/>
        <v>3.5529673171118303E-4</v>
      </c>
      <c r="NS54" s="1411">
        <f t="shared" ca="1" si="250"/>
        <v>2.9164531733588198E-5</v>
      </c>
      <c r="NT54" s="1411">
        <f t="shared" ca="1" si="251"/>
        <v>2.39397054721824E-6</v>
      </c>
      <c r="NU54" s="1411">
        <f t="shared" ca="1" si="252"/>
        <v>2.39397054721824E-6</v>
      </c>
      <c r="NV54" s="1411">
        <f t="shared" ca="1" si="253"/>
        <v>8.6938243809571672E-2</v>
      </c>
      <c r="NW54" s="1411">
        <f t="shared" ca="1" si="254"/>
        <v>2.39397054721824E-6</v>
      </c>
      <c r="NX54" s="1411">
        <f t="shared" ca="1" si="255"/>
        <v>1.1918877530500715E-7</v>
      </c>
      <c r="NY54" s="1411">
        <f t="shared" ca="1" si="256"/>
        <v>4.3847100053114644E-8</v>
      </c>
      <c r="NZ54" s="1411">
        <f t="shared" ca="1" si="257"/>
        <v>1.1765811850062074E-2</v>
      </c>
      <c r="OA54" s="1411">
        <f t="shared" ca="1" si="258"/>
        <v>8.030876508910451E-10</v>
      </c>
      <c r="OB54" s="1411">
        <f t="shared" ca="1" si="259"/>
        <v>1.3776349317300986E-5</v>
      </c>
      <c r="OC54" s="1411">
        <f t="shared" ca="1" si="260"/>
        <v>2.625307482380644E-3</v>
      </c>
      <c r="OD54" s="1411">
        <f t="shared" ca="1" si="261"/>
        <v>6.7707572357747145E-2</v>
      </c>
      <c r="OE54" s="1411">
        <f t="shared" ca="1" si="262"/>
        <v>1.5923294792368448E-3</v>
      </c>
      <c r="OF54" s="1411">
        <f t="shared" ca="1" si="263"/>
        <v>2.625307482380644E-3</v>
      </c>
      <c r="OG54" s="1411">
        <f t="shared" ca="1" si="264"/>
        <v>0.11163091473368573</v>
      </c>
      <c r="OH54" s="1411">
        <f t="shared" ca="1" si="265"/>
        <v>2.1830185680769898E-9</v>
      </c>
      <c r="OI54" s="1411">
        <f t="shared" ca="1" si="266"/>
        <v>8.355778239854254E-6</v>
      </c>
      <c r="OJ54" s="1411">
        <f t="shared" ca="1" si="267"/>
        <v>2.625307482380644E-3</v>
      </c>
      <c r="OK54" s="1411">
        <f t="shared" ca="1" si="268"/>
        <v>3.0739190294300812E-6</v>
      </c>
      <c r="OL54" s="1411">
        <f t="shared" ca="1" si="269"/>
        <v>1.864426136823445E-6</v>
      </c>
      <c r="OM54" s="1411">
        <f t="shared" ca="1" si="270"/>
        <v>4.5621003398324447E-4</v>
      </c>
      <c r="ON54" s="1411">
        <f t="shared" ca="1" si="271"/>
        <v>6.7707572357747145E-2</v>
      </c>
      <c r="OO54" s="1411">
        <f t="shared" ca="1" si="272"/>
        <v>1.7001365702777765E-9</v>
      </c>
      <c r="OP54" s="1411">
        <f t="shared" ca="1" si="273"/>
        <v>2.4908223882043015E-2</v>
      </c>
      <c r="OQ54" s="1411">
        <f t="shared" ca="1" si="274"/>
        <v>5.6300790916249623E-8</v>
      </c>
      <c r="OR54" s="1411">
        <f t="shared" ca="1" si="275"/>
        <v>4.8084183819175744E-5</v>
      </c>
      <c r="OS54" s="1411">
        <f t="shared" ca="1" si="276"/>
        <v>1.0179421794400195E-4</v>
      </c>
      <c r="OT54" s="1411">
        <f t="shared" ca="1" si="277"/>
        <v>2.1830185680769898E-9</v>
      </c>
      <c r="OU54" s="1411">
        <f t="shared" ca="1" si="278"/>
        <v>1.0311849555721536E-9</v>
      </c>
      <c r="OV54" s="1411">
        <f t="shared" ca="1" si="279"/>
        <v>2.1549836107852637E-4</v>
      </c>
      <c r="OW54" s="1411">
        <f t="shared" ca="1" si="280"/>
        <v>1.9398544264252967E-2</v>
      </c>
      <c r="OX54" s="1411">
        <f t="shared" ca="1" si="281"/>
        <v>1.4520165353368931E-6</v>
      </c>
      <c r="OY54" s="1411">
        <f t="shared" ca="1" si="282"/>
        <v>1.1308316147530006E-6</v>
      </c>
      <c r="OZ54" s="1411">
        <f t="shared" ca="1" si="283"/>
        <v>5.9340597047923656E-9</v>
      </c>
      <c r="PA54" s="1411">
        <f t="shared" ca="1" si="284"/>
        <v>8.030876508910451E-10</v>
      </c>
      <c r="PB54" s="1411">
        <f t="shared" ca="1" si="285"/>
        <v>2.39397054721824E-6</v>
      </c>
      <c r="PC54" s="1411">
        <f t="shared" ca="1" si="286"/>
        <v>1.3070636311194987E-4</v>
      </c>
      <c r="PD54" s="1411">
        <f t="shared" ca="1" si="287"/>
        <v>2.0445915230812638E-3</v>
      </c>
      <c r="PE54" s="1411">
        <f t="shared" ca="1" si="288"/>
        <v>3.7448000011723442E-5</v>
      </c>
      <c r="PF54" s="1411">
        <f t="shared" ca="1" si="289"/>
        <v>1.5304141687551342E-7</v>
      </c>
      <c r="PG54" s="1411">
        <f t="shared" ca="1" si="290"/>
        <v>7.2291646516086834E-8</v>
      </c>
      <c r="PH54" s="1411">
        <f t="shared" ca="1" si="291"/>
        <v>7.1363256234728695E-3</v>
      </c>
      <c r="PI54" s="1411">
        <f t="shared" ca="1" si="292"/>
        <v>4.1600970249433362E-7</v>
      </c>
      <c r="PJ54" s="1411">
        <f t="shared" ca="1" si="293"/>
        <v>2.39397054721824E-6</v>
      </c>
      <c r="PK54" s="1411">
        <f t="shared" ca="1" si="294"/>
        <v>8.6938243809571672E-2</v>
      </c>
      <c r="PL54" s="1411">
        <f t="shared" ca="1" si="295"/>
        <v>1.6783029235856067E-4</v>
      </c>
      <c r="PM54" s="1411">
        <f t="shared" ca="1" si="296"/>
        <v>2.0445915230812638E-3</v>
      </c>
      <c r="PN54" s="1411">
        <f t="shared" ca="1" si="297"/>
        <v>2.8030513265121331E-9</v>
      </c>
      <c r="PO54" s="1411">
        <f t="shared" ca="1" si="298"/>
        <v>1.0179421794400195E-4</v>
      </c>
      <c r="PP54" s="1411">
        <f t="shared" ca="1" si="299"/>
        <v>9.6579664952139738E-4</v>
      </c>
      <c r="PQ54" s="1411">
        <f t="shared" ca="1" si="300"/>
        <v>2.1830185680769898E-9</v>
      </c>
      <c r="PR54" s="1411">
        <f t="shared" ca="1" si="301"/>
        <v>3.2398868206788918E-7</v>
      </c>
      <c r="PS54" s="1411">
        <f t="shared" ca="1" si="302"/>
        <v>7.5216318693500353E-4</v>
      </c>
      <c r="PT54" s="1411">
        <f t="shared" ca="1" si="303"/>
        <v>8.8069254709153817E-7</v>
      </c>
      <c r="PU54" s="1411">
        <f t="shared" ca="1" si="304"/>
        <v>8.030876508910451E-10</v>
      </c>
      <c r="PV54" s="1411">
        <f t="shared" ca="1" si="305"/>
        <v>1.7689182672583284E-5</v>
      </c>
      <c r="PW54" s="1411">
        <f t="shared" ca="1" si="306"/>
        <v>2.6594610521701468E-8</v>
      </c>
      <c r="PX54" s="1411">
        <f t="shared" ca="1" si="307"/>
        <v>2.2713360152029325E-5</v>
      </c>
      <c r="PY54" s="1411">
        <f t="shared" ca="1" si="308"/>
        <v>1.9398544264252967E-2</v>
      </c>
      <c r="PZ54" s="1412">
        <f t="shared" ca="1" si="309"/>
        <v>3.1982792549091837E-2</v>
      </c>
      <c r="QB54" s="33" t="s">
        <v>1072</v>
      </c>
      <c r="QC54" s="1432">
        <f t="shared" ca="1" si="336"/>
        <v>0.31422017743564601</v>
      </c>
      <c r="QD54" s="744">
        <f t="shared" ca="1" si="337"/>
        <v>0.30270619208483207</v>
      </c>
      <c r="QE54" s="1068">
        <f t="shared" ca="1" si="338"/>
        <v>0.3830736304795217</v>
      </c>
      <c r="QF54" s="744">
        <f t="shared" ca="1" si="339"/>
        <v>0.38311664916888943</v>
      </c>
      <c r="QG54" s="744">
        <f t="shared" ca="1" si="340"/>
        <v>0.24574986023085205</v>
      </c>
      <c r="QH54" s="1068">
        <f t="shared" ca="1" si="341"/>
        <v>0.37113349060025846</v>
      </c>
      <c r="QI54" s="744">
        <f t="shared" ca="1" si="342"/>
        <v>0.58792079712731404</v>
      </c>
      <c r="QJ54" s="1068">
        <f t="shared" ca="1" si="343"/>
        <v>0.41207920287268596</v>
      </c>
      <c r="QK54" s="744">
        <f t="shared" ca="1" si="344"/>
        <v>0.44382457753115795</v>
      </c>
      <c r="QL54" s="1068">
        <f t="shared" ca="1" si="345"/>
        <v>0.556175422468842</v>
      </c>
      <c r="QM54" s="744">
        <f t="shared" ca="1" si="346"/>
        <v>0.44122272771341237</v>
      </c>
      <c r="QN54" s="1068">
        <f t="shared" ca="1" si="347"/>
        <v>0.55877727228658747</v>
      </c>
      <c r="QO54" s="744">
        <f t="shared" ca="1" si="348"/>
        <v>0.40099588467792152</v>
      </c>
      <c r="QP54" s="1068">
        <f t="shared" ca="1" si="349"/>
        <v>0.59900411532207842</v>
      </c>
      <c r="QR54" s="1432">
        <f t="shared" ca="1" si="350"/>
        <v>9.8762899303091553E-2</v>
      </c>
      <c r="QS54" s="744">
        <f t="shared" ca="1" si="351"/>
        <v>0.15622145123466905</v>
      </c>
      <c r="QT54" s="744">
        <f t="shared" ca="1" si="352"/>
        <v>5.9235826897885487E-2</v>
      </c>
      <c r="QU54" s="743">
        <f t="shared" ca="1" si="353"/>
        <v>7.2644649522206728E-2</v>
      </c>
      <c r="QV54" s="744">
        <f t="shared" ca="1" si="354"/>
        <v>6.055727496083093E-2</v>
      </c>
      <c r="QW54" s="744">
        <f t="shared" ca="1" si="355"/>
        <v>0.16950426760179443</v>
      </c>
      <c r="QX54" s="743">
        <f t="shared" ca="1" si="356"/>
        <v>0.21170910034359119</v>
      </c>
      <c r="QY54" s="744">
        <f t="shared" ca="1" si="357"/>
        <v>2.8971134035352033E-2</v>
      </c>
      <c r="QZ54" s="745">
        <f t="shared" ca="1" si="358"/>
        <v>0.14239339610057855</v>
      </c>
      <c r="RC54" s="744">
        <f t="shared" ca="1" si="359"/>
        <v>1.9490789775845046E-2</v>
      </c>
      <c r="RD54" s="744">
        <f t="shared" ca="1" si="360"/>
        <v>0.1013931543067922</v>
      </c>
      <c r="RE54" s="744">
        <f t="shared" ca="1" si="361"/>
        <v>7.7288676799875198E-3</v>
      </c>
      <c r="RF54" s="744">
        <f t="shared" ca="1" si="362"/>
        <v>3.127852152713937E-2</v>
      </c>
      <c r="RG54" s="744">
        <f t="shared" ca="1" si="363"/>
        <v>1.5323981418081105E-2</v>
      </c>
      <c r="RH54" s="744">
        <f t="shared" ca="1" si="364"/>
        <v>8.2115025849017392E-2</v>
      </c>
      <c r="RI54" s="744">
        <f t="shared" ca="1" si="365"/>
        <v>9.3221944859482639E-2</v>
      </c>
      <c r="RJ54" s="744">
        <f t="shared" ca="1" si="366"/>
        <v>9.3521068229909105E-3</v>
      </c>
      <c r="RK54" s="744">
        <f t="shared" ca="1" si="367"/>
        <v>5.217481063334968E-2</v>
      </c>
      <c r="RL54" s="1251"/>
      <c r="RM54" s="744">
        <f t="shared" ca="1" si="368"/>
        <v>8.6003272598900615E-2</v>
      </c>
      <c r="RN54" s="744">
        <f t="shared" ca="1" si="369"/>
        <v>0.1458913512347966</v>
      </c>
      <c r="RO54" s="744">
        <f t="shared" ca="1" si="370"/>
        <v>1.256203263205353E-4</v>
      </c>
      <c r="RP54" s="744">
        <f t="shared" ca="1" si="371"/>
        <v>6.9925589274868194E-2</v>
      </c>
      <c r="RQ54" s="744">
        <f t="shared" ca="1" si="372"/>
        <v>3.4507464025712503E-2</v>
      </c>
      <c r="RR54" s="744">
        <f t="shared" ca="1" si="373"/>
        <v>0.15731885327493245</v>
      </c>
      <c r="RS54" s="744">
        <f t="shared" ca="1" si="374"/>
        <v>2.7885384913594138E-3</v>
      </c>
      <c r="RT54" s="744">
        <f t="shared" ca="1" si="375"/>
        <v>7.1427394346784247E-3</v>
      </c>
      <c r="RU54" s="744">
        <f t="shared" ca="1" si="376"/>
        <v>5.2471993807273395E-2</v>
      </c>
      <c r="RV54" s="744"/>
      <c r="RW54" s="744">
        <f t="shared" ca="1" si="377"/>
        <v>8.883178642902391E-2</v>
      </c>
      <c r="RX54" s="744">
        <f t="shared" ca="1" si="378"/>
        <v>2.1485458089207255E-2</v>
      </c>
      <c r="RY54" s="744">
        <f t="shared" ca="1" si="379"/>
        <v>3.9198971750109786E-2</v>
      </c>
      <c r="RZ54" s="744">
        <f t="shared" ca="1" si="380"/>
        <v>9.8377767794282246E-3</v>
      </c>
      <c r="SA54" s="744">
        <f t="shared" ca="1" si="381"/>
        <v>2.049597976859471E-2</v>
      </c>
      <c r="SB54" s="744">
        <f t="shared" ca="1" si="382"/>
        <v>0.1693946728521713</v>
      </c>
      <c r="SC54" s="744">
        <f t="shared" ca="1" si="383"/>
        <v>0.13664587724501273</v>
      </c>
      <c r="SD54" s="744">
        <f t="shared" ca="1" si="384"/>
        <v>1.9442802076101488E-2</v>
      </c>
      <c r="SE54" s="744">
        <f t="shared" ca="1" si="385"/>
        <v>5.3443947296938264E-2</v>
      </c>
      <c r="SF54" s="744"/>
      <c r="SG54" s="744">
        <f t="shared" ca="1" si="386"/>
        <v>8.4609779905770441E-2</v>
      </c>
      <c r="SH54" s="744">
        <f t="shared" ca="1" si="387"/>
        <v>8.7248311656434291E-2</v>
      </c>
      <c r="SI54" s="744">
        <f t="shared" ca="1" si="388"/>
        <v>3.9213472296691254E-2</v>
      </c>
      <c r="SJ54" s="744">
        <f t="shared" ca="1" si="389"/>
        <v>6.0929791122562874E-2</v>
      </c>
      <c r="SK54" s="744">
        <f t="shared" ca="1" si="390"/>
        <v>1.9742333322076859E-2</v>
      </c>
      <c r="SL54" s="744">
        <f t="shared" ca="1" si="391"/>
        <v>0.16678321887918224</v>
      </c>
      <c r="SM54" s="744">
        <f t="shared" ca="1" si="392"/>
        <v>9.7916364180544585E-2</v>
      </c>
      <c r="SN54" s="744">
        <f t="shared" ca="1" si="393"/>
        <v>9.4028144407390137E-3</v>
      </c>
      <c r="SO54" s="744">
        <f t="shared" ca="1" si="394"/>
        <v>3.3158029518076892E-2</v>
      </c>
      <c r="SP54" s="100"/>
      <c r="SQ54" s="114"/>
      <c r="SR54" s="806">
        <f t="shared" ca="1" si="395"/>
        <v>0.19734930741583576</v>
      </c>
      <c r="SS54" s="806">
        <f t="shared" ca="1" si="396"/>
        <v>0.64903477406879184</v>
      </c>
      <c r="ST54" s="806">
        <f t="shared" ca="1" si="397"/>
        <v>0.13047623515598147</v>
      </c>
      <c r="SU54" s="806">
        <f t="shared" ca="1" si="398"/>
        <v>0.43056882692479431</v>
      </c>
      <c r="SV54" s="806">
        <f t="shared" ca="1" si="399"/>
        <v>0.25304938883053796</v>
      </c>
      <c r="SW54" s="806">
        <f t="shared" ca="1" si="400"/>
        <v>0.48444223269897241</v>
      </c>
      <c r="SX54" s="806">
        <f t="shared" ca="1" si="401"/>
        <v>0.44033036231408573</v>
      </c>
      <c r="SY54" s="806">
        <f t="shared" ca="1" si="402"/>
        <v>0.32280775794206051</v>
      </c>
      <c r="SZ54" s="806">
        <f t="shared" ca="1" si="403"/>
        <v>0.36641313475307785</v>
      </c>
      <c r="TA54" s="806"/>
      <c r="TB54" s="806">
        <f t="shared" ca="1" si="404"/>
        <v>0.87080546648359147</v>
      </c>
      <c r="TC54" s="806">
        <f t="shared" ca="1" si="405"/>
        <v>0.93387527821416139</v>
      </c>
      <c r="TD54" s="806">
        <f t="shared" ca="1" si="406"/>
        <v>2.1206815688939004E-3</v>
      </c>
      <c r="TE54" s="806">
        <f t="shared" ca="1" si="407"/>
        <v>0.96257039898709473</v>
      </c>
      <c r="TF54" s="806">
        <f t="shared" ca="1" si="408"/>
        <v>0.56983185006313919</v>
      </c>
      <c r="TG54" s="806">
        <f t="shared" ca="1" si="409"/>
        <v>0.9281114599693242</v>
      </c>
      <c r="TH54" s="806">
        <f t="shared" ca="1" si="410"/>
        <v>1.3171557041401541E-2</v>
      </c>
      <c r="TI54" s="806">
        <f t="shared" ca="1" si="411"/>
        <v>0.24654676706691894</v>
      </c>
      <c r="TJ54" s="806">
        <f t="shared" ca="1" si="412"/>
        <v>0.36850019203285367</v>
      </c>
      <c r="TK54" s="806"/>
      <c r="TL54" s="806">
        <f t="shared" ca="1" si="413"/>
        <v>0.89944490345924089</v>
      </c>
      <c r="TM54" s="806">
        <f t="shared" ca="1" si="414"/>
        <v>0.1375320605422666</v>
      </c>
      <c r="TN54" s="806">
        <f t="shared" ca="1" si="415"/>
        <v>0.66174431594723049</v>
      </c>
      <c r="TO54" s="806">
        <f t="shared" ca="1" si="416"/>
        <v>0.13542328091790046</v>
      </c>
      <c r="TP54" s="806">
        <f t="shared" ca="1" si="417"/>
        <v>0.33845611087770577</v>
      </c>
      <c r="TQ54" s="806">
        <f t="shared" ca="1" si="418"/>
        <v>0.99935343958489231</v>
      </c>
      <c r="TR54" s="806">
        <f t="shared" ca="1" si="419"/>
        <v>0.64544167928182894</v>
      </c>
      <c r="TS54" s="806">
        <f t="shared" ca="1" si="420"/>
        <v>0.67110945855196436</v>
      </c>
      <c r="TT54" s="806">
        <f t="shared" ca="1" si="421"/>
        <v>0.37532602466471493</v>
      </c>
      <c r="TU54" s="806"/>
      <c r="TV54" s="806">
        <f t="shared" ca="1" si="422"/>
        <v>0.85669599113441497</v>
      </c>
      <c r="TW54" s="806">
        <f t="shared" ca="1" si="313"/>
        <v>0.55849123770700149</v>
      </c>
      <c r="TX54" s="806">
        <f t="shared" ca="1" si="314"/>
        <v>0.66198910946731526</v>
      </c>
      <c r="TY54" s="806">
        <f t="shared" ca="1" si="315"/>
        <v>0.83873749165707323</v>
      </c>
      <c r="TZ54" s="806">
        <f t="shared" ca="1" si="316"/>
        <v>0.32601092659546527</v>
      </c>
      <c r="UA54" s="806">
        <f t="shared" ca="1" si="317"/>
        <v>0.98394701938121942</v>
      </c>
      <c r="UB54" s="806">
        <f t="shared" ca="1" si="318"/>
        <v>0.46250427601662936</v>
      </c>
      <c r="UC54" s="806">
        <f t="shared" ca="1" si="319"/>
        <v>0.32455803867619498</v>
      </c>
      <c r="UD54" s="1439">
        <f t="shared" ca="1" si="320"/>
        <v>0.23286213002923223</v>
      </c>
    </row>
    <row r="55" spans="3:551" s="7" customFormat="1" x14ac:dyDescent="0.25">
      <c r="C55" s="21"/>
      <c r="D55" s="1308">
        <v>44030</v>
      </c>
      <c r="E55" s="233">
        <f t="shared" ca="1" si="321"/>
        <v>36</v>
      </c>
      <c r="F55" s="1392">
        <f t="shared" ca="1" si="321"/>
        <v>53</v>
      </c>
      <c r="G55" s="1392">
        <f t="shared" ca="1" si="321"/>
        <v>35</v>
      </c>
      <c r="H55" s="1392">
        <f t="shared" ca="1" si="321"/>
        <v>34</v>
      </c>
      <c r="I55" s="1392">
        <f t="shared" ca="1" si="321"/>
        <v>33</v>
      </c>
      <c r="J55" s="1392">
        <f t="shared" ca="1" si="321"/>
        <v>44</v>
      </c>
      <c r="K55" s="1392">
        <f t="shared" ca="1" si="321"/>
        <v>15</v>
      </c>
      <c r="L55" s="1392">
        <f t="shared" ca="1" si="321"/>
        <v>23</v>
      </c>
      <c r="M55" s="1392">
        <f t="shared" ca="1" si="321"/>
        <v>41</v>
      </c>
      <c r="N55" s="1392">
        <f t="shared" ca="1" si="321"/>
        <v>71</v>
      </c>
      <c r="O55" s="1392">
        <f t="shared" ca="1" si="322"/>
        <v>63</v>
      </c>
      <c r="P55" s="1392">
        <f t="shared" ca="1" si="322"/>
        <v>30</v>
      </c>
      <c r="Q55" s="1392">
        <f t="shared" ca="1" si="322"/>
        <v>42</v>
      </c>
      <c r="R55" s="1392">
        <f t="shared" ca="1" si="322"/>
        <v>20</v>
      </c>
      <c r="S55" s="1392">
        <f t="shared" ca="1" si="322"/>
        <v>54</v>
      </c>
      <c r="T55" s="1392">
        <f t="shared" ca="1" si="322"/>
        <v>70</v>
      </c>
      <c r="U55" s="1392">
        <f t="shared" ca="1" si="322"/>
        <v>80</v>
      </c>
      <c r="V55" s="1392">
        <f t="shared" ca="1" si="322"/>
        <v>73</v>
      </c>
      <c r="W55" s="1392">
        <f t="shared" ca="1" si="322"/>
        <v>57</v>
      </c>
      <c r="X55" s="1392">
        <f t="shared" ca="1" si="322"/>
        <v>70</v>
      </c>
      <c r="Y55" s="1392">
        <f t="shared" ca="1" si="323"/>
        <v>77</v>
      </c>
      <c r="Z55" s="1392">
        <f t="shared" ca="1" si="323"/>
        <v>69</v>
      </c>
      <c r="AA55" s="1392">
        <f t="shared" ca="1" si="323"/>
        <v>37</v>
      </c>
      <c r="AB55" s="1392">
        <f t="shared" ca="1" si="323"/>
        <v>66</v>
      </c>
      <c r="AC55" s="1392">
        <f t="shared" ca="1" si="323"/>
        <v>44</v>
      </c>
      <c r="AD55" s="1392">
        <f t="shared" ca="1" si="323"/>
        <v>23</v>
      </c>
      <c r="AE55" s="1392">
        <f t="shared" ca="1" si="323"/>
        <v>71</v>
      </c>
      <c r="AF55" s="1392">
        <f t="shared" ca="1" si="323"/>
        <v>46</v>
      </c>
      <c r="AG55" s="1392">
        <f t="shared" ca="1" si="323"/>
        <v>45</v>
      </c>
      <c r="AH55" s="1392">
        <f t="shared" ca="1" si="323"/>
        <v>78</v>
      </c>
      <c r="AI55" s="1392">
        <f t="shared" ca="1" si="324"/>
        <v>79</v>
      </c>
      <c r="AJ55" s="1392">
        <f t="shared" ca="1" si="324"/>
        <v>26</v>
      </c>
      <c r="AK55" s="1392">
        <f t="shared" ca="1" si="324"/>
        <v>14</v>
      </c>
      <c r="AL55" s="1392">
        <f t="shared" ca="1" si="324"/>
        <v>63</v>
      </c>
      <c r="AM55" s="1392">
        <f t="shared" ca="1" si="324"/>
        <v>71</v>
      </c>
      <c r="AN55" s="1392">
        <f t="shared" ca="1" si="324"/>
        <v>12</v>
      </c>
      <c r="AO55" s="1392">
        <f t="shared" ca="1" si="324"/>
        <v>37</v>
      </c>
      <c r="AP55" s="1392">
        <f t="shared" ca="1" si="324"/>
        <v>63</v>
      </c>
      <c r="AQ55" s="1392">
        <f t="shared" ca="1" si="324"/>
        <v>27</v>
      </c>
      <c r="AR55" s="1392">
        <f t="shared" ca="1" si="324"/>
        <v>45</v>
      </c>
      <c r="AS55" s="1392">
        <f t="shared" ca="1" si="325"/>
        <v>27</v>
      </c>
      <c r="AT55" s="1392">
        <f t="shared" ca="1" si="325"/>
        <v>11</v>
      </c>
      <c r="AU55" s="1392">
        <f t="shared" ca="1" si="325"/>
        <v>21</v>
      </c>
      <c r="AV55" s="1392">
        <f t="shared" ca="1" si="325"/>
        <v>45</v>
      </c>
      <c r="AW55" s="1392">
        <f t="shared" ca="1" si="325"/>
        <v>64</v>
      </c>
      <c r="AX55" s="1392">
        <f t="shared" ca="1" si="325"/>
        <v>66</v>
      </c>
      <c r="AY55" s="1392">
        <f t="shared" ca="1" si="325"/>
        <v>12</v>
      </c>
      <c r="AZ55" s="1392">
        <f t="shared" ca="1" si="325"/>
        <v>64</v>
      </c>
      <c r="BA55" s="1392">
        <f t="shared" ca="1" si="325"/>
        <v>50</v>
      </c>
      <c r="BB55" s="1392">
        <f t="shared" ca="1" si="325"/>
        <v>79</v>
      </c>
      <c r="BC55" s="1392">
        <f t="shared" ca="1" si="326"/>
        <v>69</v>
      </c>
      <c r="BD55" s="1392">
        <f t="shared" ca="1" si="326"/>
        <v>74</v>
      </c>
      <c r="BE55" s="1392">
        <f t="shared" ca="1" si="326"/>
        <v>44</v>
      </c>
      <c r="BF55" s="1392">
        <f t="shared" ca="1" si="326"/>
        <v>52</v>
      </c>
      <c r="BG55" s="1392">
        <f t="shared" ca="1" si="326"/>
        <v>65</v>
      </c>
      <c r="BH55" s="1392">
        <f t="shared" ca="1" si="326"/>
        <v>69</v>
      </c>
      <c r="BI55" s="1392">
        <f t="shared" ca="1" si="326"/>
        <v>36</v>
      </c>
      <c r="BJ55" s="1392">
        <f t="shared" ca="1" si="326"/>
        <v>23</v>
      </c>
      <c r="BK55" s="1392">
        <f t="shared" ca="1" si="326"/>
        <v>76</v>
      </c>
      <c r="BL55" s="1392">
        <f t="shared" ca="1" si="326"/>
        <v>42</v>
      </c>
      <c r="BM55" s="1392">
        <f t="shared" ca="1" si="327"/>
        <v>18</v>
      </c>
      <c r="BN55" s="1392">
        <f t="shared" ca="1" si="327"/>
        <v>74</v>
      </c>
      <c r="BO55" s="1392">
        <f t="shared" ca="1" si="327"/>
        <v>52</v>
      </c>
      <c r="BP55" s="1392">
        <f t="shared" ca="1" si="327"/>
        <v>73</v>
      </c>
      <c r="BQ55" s="1392">
        <f t="shared" ca="1" si="327"/>
        <v>48</v>
      </c>
      <c r="BR55" s="1392">
        <f t="shared" ca="1" si="327"/>
        <v>22</v>
      </c>
      <c r="BS55" s="1392">
        <f t="shared" ca="1" si="327"/>
        <v>61</v>
      </c>
      <c r="BT55" s="1392">
        <f t="shared" ca="1" si="327"/>
        <v>68</v>
      </c>
      <c r="BU55" s="1392">
        <f t="shared" ca="1" si="327"/>
        <v>15</v>
      </c>
      <c r="BV55" s="1392">
        <f t="shared" ca="1" si="327"/>
        <v>6</v>
      </c>
      <c r="BW55" s="1392">
        <f t="shared" ca="1" si="328"/>
        <v>26</v>
      </c>
      <c r="BX55" s="1392">
        <f t="shared" ca="1" si="328"/>
        <v>28</v>
      </c>
      <c r="BY55" s="1392">
        <f t="shared" ca="1" si="328"/>
        <v>71</v>
      </c>
      <c r="BZ55" s="1392">
        <f t="shared" ca="1" si="328"/>
        <v>54</v>
      </c>
      <c r="CA55" s="1392">
        <f t="shared" ca="1" si="328"/>
        <v>12</v>
      </c>
      <c r="CB55" s="1392">
        <f t="shared" ca="1" si="328"/>
        <v>24</v>
      </c>
      <c r="CC55" s="1392">
        <f t="shared" ca="1" si="328"/>
        <v>55</v>
      </c>
      <c r="CD55" s="1392">
        <f t="shared" ca="1" si="328"/>
        <v>25</v>
      </c>
      <c r="CE55" s="1392">
        <f t="shared" ca="1" si="328"/>
        <v>30</v>
      </c>
      <c r="CF55" s="1392">
        <f t="shared" ca="1" si="328"/>
        <v>24</v>
      </c>
      <c r="CG55" s="1392">
        <f t="shared" ca="1" si="329"/>
        <v>66</v>
      </c>
      <c r="CH55" s="1392">
        <f t="shared" ca="1" si="329"/>
        <v>63</v>
      </c>
      <c r="CI55" s="1392">
        <f t="shared" ca="1" si="329"/>
        <v>8</v>
      </c>
      <c r="CJ55" s="1392">
        <f t="shared" ca="1" si="329"/>
        <v>49</v>
      </c>
      <c r="CK55" s="1392">
        <f t="shared" ca="1" si="329"/>
        <v>62</v>
      </c>
      <c r="CL55" s="1392">
        <f t="shared" ca="1" si="329"/>
        <v>20</v>
      </c>
      <c r="CM55" s="1392">
        <f t="shared" ca="1" si="329"/>
        <v>42</v>
      </c>
      <c r="CN55" s="1392">
        <f t="shared" ca="1" si="329"/>
        <v>25</v>
      </c>
      <c r="CO55" s="1392">
        <f t="shared" ca="1" si="329"/>
        <v>68</v>
      </c>
      <c r="CP55" s="1392">
        <f t="shared" ca="1" si="329"/>
        <v>18</v>
      </c>
      <c r="CQ55" s="1392">
        <f t="shared" ca="1" si="330"/>
        <v>10</v>
      </c>
      <c r="CR55" s="1392">
        <f t="shared" ca="1" si="330"/>
        <v>65</v>
      </c>
      <c r="CS55" s="1392">
        <f t="shared" ca="1" si="330"/>
        <v>24</v>
      </c>
      <c r="CT55" s="1392">
        <f t="shared" ca="1" si="330"/>
        <v>27</v>
      </c>
      <c r="CU55" s="1392">
        <f t="shared" ca="1" si="330"/>
        <v>69</v>
      </c>
      <c r="CV55" s="1392">
        <f t="shared" ca="1" si="330"/>
        <v>58</v>
      </c>
      <c r="CW55" s="1392">
        <f t="shared" ca="1" si="330"/>
        <v>75</v>
      </c>
      <c r="CX55" s="1392">
        <f t="shared" ca="1" si="330"/>
        <v>7</v>
      </c>
      <c r="CY55" s="1392">
        <f t="shared" ca="1" si="330"/>
        <v>16</v>
      </c>
      <c r="CZ55" s="1392">
        <f t="shared" ca="1" si="330"/>
        <v>19</v>
      </c>
      <c r="DA55" s="1392">
        <f t="shared" ca="1" si="331"/>
        <v>77</v>
      </c>
      <c r="DB55" s="1392">
        <f t="shared" ca="1" si="331"/>
        <v>65</v>
      </c>
      <c r="DC55" s="1392">
        <f t="shared" ca="1" si="331"/>
        <v>28</v>
      </c>
      <c r="DD55" s="1392">
        <f t="shared" ca="1" si="331"/>
        <v>21</v>
      </c>
      <c r="DE55" s="1392">
        <f t="shared" ca="1" si="331"/>
        <v>20</v>
      </c>
      <c r="DF55" s="1392">
        <f t="shared" ca="1" si="331"/>
        <v>59</v>
      </c>
      <c r="DG55" s="1392">
        <f t="shared" ca="1" si="331"/>
        <v>24</v>
      </c>
      <c r="DH55" s="1392">
        <f t="shared" ca="1" si="331"/>
        <v>22</v>
      </c>
      <c r="DI55" s="1392">
        <f t="shared" ca="1" si="331"/>
        <v>40</v>
      </c>
      <c r="DJ55" s="1392">
        <f t="shared" ca="1" si="331"/>
        <v>61</v>
      </c>
      <c r="DK55" s="1392">
        <f t="shared" ca="1" si="332"/>
        <v>71</v>
      </c>
      <c r="DL55" s="1392">
        <f t="shared" ca="1" si="332"/>
        <v>21</v>
      </c>
      <c r="DM55" s="1392">
        <f t="shared" ca="1" si="332"/>
        <v>27</v>
      </c>
      <c r="DN55" s="1392">
        <f t="shared" ca="1" si="332"/>
        <v>14</v>
      </c>
      <c r="DO55" s="1392">
        <f t="shared" ca="1" si="332"/>
        <v>54</v>
      </c>
      <c r="DP55" s="1392">
        <f t="shared" ca="1" si="332"/>
        <v>37</v>
      </c>
      <c r="DQ55" s="1392">
        <f t="shared" ca="1" si="332"/>
        <v>53</v>
      </c>
      <c r="DR55" s="1392">
        <f t="shared" ca="1" si="332"/>
        <v>59</v>
      </c>
      <c r="DS55" s="1392">
        <f t="shared" ca="1" si="332"/>
        <v>20</v>
      </c>
      <c r="DT55" s="1392">
        <f t="shared" ca="1" si="332"/>
        <v>22</v>
      </c>
      <c r="DU55" s="1392">
        <f t="shared" ca="1" si="333"/>
        <v>28</v>
      </c>
      <c r="DV55" s="1392">
        <f t="shared" ca="1" si="333"/>
        <v>78</v>
      </c>
      <c r="DW55" s="1392">
        <f t="shared" ca="1" si="333"/>
        <v>43</v>
      </c>
      <c r="DX55" s="1392">
        <f t="shared" ca="1" si="333"/>
        <v>51</v>
      </c>
      <c r="DY55" s="1392">
        <f t="shared" ca="1" si="333"/>
        <v>39</v>
      </c>
      <c r="DZ55" s="1392">
        <f t="shared" ca="1" si="333"/>
        <v>22</v>
      </c>
      <c r="EA55" s="1392">
        <f t="shared" ca="1" si="333"/>
        <v>73</v>
      </c>
      <c r="EB55" s="1392">
        <f t="shared" ca="1" si="333"/>
        <v>73</v>
      </c>
      <c r="EC55" s="1392">
        <f t="shared" ca="1" si="333"/>
        <v>30</v>
      </c>
      <c r="ED55" s="1392">
        <f t="shared" ca="1" si="333"/>
        <v>55</v>
      </c>
      <c r="EE55" s="1392">
        <f t="shared" ca="1" si="334"/>
        <v>8</v>
      </c>
      <c r="EF55" s="1392">
        <f t="shared" ca="1" si="334"/>
        <v>26</v>
      </c>
      <c r="EG55" s="1392">
        <f t="shared" ca="1" si="334"/>
        <v>32</v>
      </c>
      <c r="EH55" s="1392">
        <f t="shared" ca="1" si="334"/>
        <v>76</v>
      </c>
      <c r="EI55" s="1392">
        <f t="shared" ca="1" si="334"/>
        <v>39</v>
      </c>
      <c r="EJ55" s="1392">
        <f t="shared" ca="1" si="334"/>
        <v>51</v>
      </c>
      <c r="EK55" s="1392">
        <f t="shared" ca="1" si="334"/>
        <v>37</v>
      </c>
      <c r="EL55" s="1392">
        <f t="shared" ca="1" si="334"/>
        <v>76</v>
      </c>
      <c r="EM55" s="1392">
        <f t="shared" ca="1" si="334"/>
        <v>24</v>
      </c>
      <c r="EN55" s="1392">
        <f t="shared" ca="1" si="334"/>
        <v>66</v>
      </c>
      <c r="EO55" s="1392">
        <f t="shared" ca="1" si="334"/>
        <v>30</v>
      </c>
      <c r="EP55" s="1392">
        <f t="shared" ca="1" si="334"/>
        <v>67</v>
      </c>
      <c r="EQ55" s="1392">
        <f t="shared" ca="1" si="334"/>
        <v>26</v>
      </c>
      <c r="ER55" s="1393">
        <f t="shared" ca="1" si="334"/>
        <v>53</v>
      </c>
      <c r="ES55" s="377"/>
      <c r="ET55" s="316">
        <f t="shared" ca="1" si="335"/>
        <v>8103.0839275753842</v>
      </c>
      <c r="EU55" s="1392">
        <f t="shared" ca="1" si="20"/>
        <v>568070.04002249124</v>
      </c>
      <c r="EV55" s="1392">
        <f t="shared" ca="1" si="21"/>
        <v>6310.6881080890244</v>
      </c>
      <c r="EW55" s="1392">
        <f t="shared" ca="1" si="22"/>
        <v>4914.7688402991344</v>
      </c>
      <c r="EX55" s="1392">
        <f t="shared" ca="1" si="23"/>
        <v>3827.6258214399063</v>
      </c>
      <c r="EY55" s="1392">
        <f t="shared" ca="1" si="24"/>
        <v>59874.141715197817</v>
      </c>
      <c r="EZ55" s="1392">
        <f t="shared" ca="1" si="25"/>
        <v>42.521082000062783</v>
      </c>
      <c r="FA55" s="1392">
        <f t="shared" ca="1" si="26"/>
        <v>314.19066028569421</v>
      </c>
      <c r="FB55" s="1392">
        <f t="shared" ca="1" si="27"/>
        <v>28282.541920334977</v>
      </c>
      <c r="FC55" s="1392">
        <f t="shared" ca="1" si="28"/>
        <v>51136035.380597278</v>
      </c>
      <c r="FD55" s="1392">
        <f t="shared" ca="1" si="29"/>
        <v>6920509.8318305807</v>
      </c>
      <c r="FE55" s="1392">
        <f t="shared" ca="1" si="30"/>
        <v>1808.0424144560632</v>
      </c>
      <c r="FF55" s="1392">
        <f t="shared" ca="1" si="31"/>
        <v>36315.502674246636</v>
      </c>
      <c r="FG55" s="1392">
        <f t="shared" ca="1" si="32"/>
        <v>148.4131591025766</v>
      </c>
      <c r="FH55" s="1392">
        <f t="shared" ca="1" si="33"/>
        <v>729416.36984770128</v>
      </c>
      <c r="FI55" s="1392">
        <f t="shared" ca="1" si="34"/>
        <v>39824784.397576228</v>
      </c>
      <c r="FJ55" s="1392">
        <f t="shared" ca="1" si="35"/>
        <v>485165195.40979028</v>
      </c>
      <c r="FK55" s="1392">
        <f t="shared" ca="1" si="36"/>
        <v>84309069.231265053</v>
      </c>
      <c r="FL55" s="1392">
        <f t="shared" ca="1" si="37"/>
        <v>1544174.4670851405</v>
      </c>
      <c r="FM55" s="1392">
        <f t="shared" ca="1" si="38"/>
        <v>39824784.397576228</v>
      </c>
      <c r="FN55" s="1392">
        <f t="shared" ca="1" si="39"/>
        <v>229175810.86564341</v>
      </c>
      <c r="FO55" s="1392">
        <f t="shared" ca="1" si="40"/>
        <v>31015573.274482232</v>
      </c>
      <c r="FP55" s="1392">
        <f t="shared" ca="1" si="41"/>
        <v>10404.565716560723</v>
      </c>
      <c r="FQ55" s="1392">
        <f t="shared" ca="1" si="42"/>
        <v>14650719.428953517</v>
      </c>
      <c r="FR55" s="1392">
        <f t="shared" ca="1" si="43"/>
        <v>59874.141715197817</v>
      </c>
      <c r="FS55" s="1392">
        <f t="shared" ca="1" si="44"/>
        <v>314.19066028569421</v>
      </c>
      <c r="FT55" s="1392">
        <f t="shared" ca="1" si="45"/>
        <v>51136035.380597278</v>
      </c>
      <c r="FU55" s="1392">
        <f t="shared" ca="1" si="46"/>
        <v>98715.771010760494</v>
      </c>
      <c r="FV55" s="1392">
        <f t="shared" ca="1" si="47"/>
        <v>76879.919764677761</v>
      </c>
      <c r="FW55" s="1392">
        <f t="shared" ca="1" si="48"/>
        <v>294267566.04150879</v>
      </c>
      <c r="FX55" s="1392">
        <f t="shared" ca="1" si="49"/>
        <v>377847034.10413581</v>
      </c>
      <c r="FY55" s="1392">
        <f t="shared" ca="1" si="50"/>
        <v>665.14163304436181</v>
      </c>
      <c r="FZ55" s="1392">
        <f t="shared" ca="1" si="51"/>
        <v>33.115451958692312</v>
      </c>
      <c r="GA55" s="1392">
        <f t="shared" ca="1" si="52"/>
        <v>6920509.8318305807</v>
      </c>
      <c r="GB55" s="1392">
        <f t="shared" ca="1" si="53"/>
        <v>51136035.380597278</v>
      </c>
      <c r="GC55" s="1392">
        <f t="shared" ca="1" si="54"/>
        <v>20.085536923187668</v>
      </c>
      <c r="GD55" s="1392">
        <f t="shared" ca="1" si="55"/>
        <v>10404.565716560723</v>
      </c>
      <c r="GE55" s="1392">
        <f t="shared" ca="1" si="56"/>
        <v>6920509.8318305807</v>
      </c>
      <c r="GF55" s="1392">
        <f t="shared" ca="1" si="57"/>
        <v>854.05876252615155</v>
      </c>
      <c r="GG55" s="1392">
        <f t="shared" ca="1" si="58"/>
        <v>76879.919764677761</v>
      </c>
      <c r="GH55" s="1392">
        <f t="shared" ca="1" si="59"/>
        <v>854.05876252615155</v>
      </c>
      <c r="GI55" s="1392">
        <f t="shared" ca="1" si="60"/>
        <v>15.642631884188171</v>
      </c>
      <c r="GJ55" s="1392">
        <f t="shared" ca="1" si="61"/>
        <v>190.56626845862999</v>
      </c>
      <c r="GK55" s="1392">
        <f t="shared" ca="1" si="62"/>
        <v>76879.919764677761</v>
      </c>
      <c r="GL55" s="1392">
        <f t="shared" ca="1" si="63"/>
        <v>8886110.5205078721</v>
      </c>
      <c r="GM55" s="1392">
        <f t="shared" ca="1" si="64"/>
        <v>14650719.428953517</v>
      </c>
      <c r="GN55" s="1392">
        <f t="shared" ca="1" si="65"/>
        <v>20.085536923187668</v>
      </c>
      <c r="GO55" s="1392">
        <f t="shared" ca="1" si="66"/>
        <v>8886110.5205078721</v>
      </c>
      <c r="GP55" s="1392">
        <f t="shared" ca="1" si="67"/>
        <v>268337.28652087448</v>
      </c>
      <c r="GQ55" s="1392">
        <f t="shared" ca="1" si="68"/>
        <v>377847034.10413581</v>
      </c>
      <c r="GR55" s="1392">
        <f t="shared" ca="1" si="69"/>
        <v>31015573.274482232</v>
      </c>
      <c r="GS55" s="1392">
        <f t="shared" ca="1" si="70"/>
        <v>108254987.75023076</v>
      </c>
      <c r="GT55" s="1392">
        <f t="shared" ca="1" si="71"/>
        <v>59874.141715197817</v>
      </c>
      <c r="GU55" s="1392">
        <f t="shared" ca="1" si="72"/>
        <v>442413.39200892049</v>
      </c>
      <c r="GV55" s="1392">
        <f t="shared" ca="1" si="73"/>
        <v>11409991.763828445</v>
      </c>
      <c r="GW55" s="1392">
        <f t="shared" ca="1" si="74"/>
        <v>31015573.274482232</v>
      </c>
      <c r="GX55" s="1392">
        <f t="shared" ca="1" si="75"/>
        <v>8103.0839275753842</v>
      </c>
      <c r="GY55" s="1392">
        <f t="shared" ca="1" si="76"/>
        <v>314.19066028569421</v>
      </c>
      <c r="GZ55" s="1392">
        <f t="shared" ca="1" si="77"/>
        <v>178482300.96318725</v>
      </c>
      <c r="HA55" s="1392">
        <f t="shared" ca="1" si="78"/>
        <v>36315.502674246636</v>
      </c>
      <c r="HB55" s="1392">
        <f t="shared" ca="1" si="79"/>
        <v>90.017131300521811</v>
      </c>
      <c r="HC55" s="1392">
        <f t="shared" ca="1" si="80"/>
        <v>108254987.75023076</v>
      </c>
      <c r="HD55" s="1392">
        <f t="shared" ca="1" si="81"/>
        <v>442413.39200892049</v>
      </c>
      <c r="HE55" s="1392">
        <f t="shared" ca="1" si="82"/>
        <v>84309069.231265053</v>
      </c>
      <c r="HF55" s="1392">
        <f t="shared" ca="1" si="83"/>
        <v>162754.79141900392</v>
      </c>
      <c r="HG55" s="1392">
        <f t="shared" ca="1" si="84"/>
        <v>244.69193226422038</v>
      </c>
      <c r="HH55" s="1392">
        <f t="shared" ca="1" si="85"/>
        <v>4197501.3938479675</v>
      </c>
      <c r="HI55" s="1392">
        <f t="shared" ca="1" si="86"/>
        <v>24154952.753575299</v>
      </c>
      <c r="HJ55" s="1392">
        <f t="shared" ca="1" si="87"/>
        <v>42.521082000062783</v>
      </c>
      <c r="HK55" s="1392">
        <f t="shared" ca="1" si="88"/>
        <v>4.4816890703380645</v>
      </c>
      <c r="HL55" s="1392">
        <f t="shared" ca="1" si="89"/>
        <v>665.14163304436181</v>
      </c>
      <c r="HM55" s="1392">
        <f t="shared" ca="1" si="90"/>
        <v>1096.6331584284585</v>
      </c>
      <c r="HN55" s="1392">
        <f t="shared" ca="1" si="91"/>
        <v>51136035.380597278</v>
      </c>
      <c r="HO55" s="1392">
        <f t="shared" ca="1" si="92"/>
        <v>729416.36984770128</v>
      </c>
      <c r="HP55" s="1392">
        <f t="shared" ca="1" si="93"/>
        <v>20.085536923187668</v>
      </c>
      <c r="HQ55" s="1392">
        <f t="shared" ca="1" si="94"/>
        <v>403.42879349273511</v>
      </c>
      <c r="HR55" s="1392">
        <f t="shared" ca="1" si="95"/>
        <v>936589.15823255444</v>
      </c>
      <c r="HS55" s="1392">
        <f t="shared" ca="1" si="96"/>
        <v>518.01282466834198</v>
      </c>
      <c r="HT55" s="1392">
        <f t="shared" ca="1" si="97"/>
        <v>1808.0424144560632</v>
      </c>
      <c r="HU55" s="1392">
        <f t="shared" ca="1" si="98"/>
        <v>403.42879349273511</v>
      </c>
      <c r="HV55" s="1392">
        <f t="shared" ca="1" si="99"/>
        <v>14650719.428953517</v>
      </c>
      <c r="HW55" s="1392">
        <f t="shared" ca="1" si="100"/>
        <v>6920509.8318305807</v>
      </c>
      <c r="HX55" s="1392">
        <f t="shared" ca="1" si="101"/>
        <v>7.3890560989306504</v>
      </c>
      <c r="HY55" s="1392">
        <f t="shared" ca="1" si="102"/>
        <v>208981.28886971297</v>
      </c>
      <c r="HZ55" s="1392">
        <f t="shared" ca="1" si="103"/>
        <v>5389698.476283012</v>
      </c>
      <c r="IA55" s="1392">
        <f t="shared" ca="1" si="104"/>
        <v>148.4131591025766</v>
      </c>
      <c r="IB55" s="1392">
        <f t="shared" ca="1" si="105"/>
        <v>36315.502674246636</v>
      </c>
      <c r="IC55" s="1392">
        <f t="shared" ca="1" si="106"/>
        <v>518.01282466834198</v>
      </c>
      <c r="ID55" s="1392">
        <f t="shared" ca="1" si="107"/>
        <v>24154952.753575299</v>
      </c>
      <c r="IE55" s="1392">
        <f t="shared" ca="1" si="108"/>
        <v>90.017131300521811</v>
      </c>
      <c r="IF55" s="1392">
        <f t="shared" ca="1" si="109"/>
        <v>12.182493960703473</v>
      </c>
      <c r="IG55" s="1392">
        <f t="shared" ca="1" si="110"/>
        <v>11409991.763828445</v>
      </c>
      <c r="IH55" s="1392">
        <f t="shared" ca="1" si="111"/>
        <v>403.42879349273511</v>
      </c>
      <c r="II55" s="1392">
        <f t="shared" ca="1" si="112"/>
        <v>854.05876252615155</v>
      </c>
      <c r="IJ55" s="1392">
        <f t="shared" ca="1" si="113"/>
        <v>31015573.274482232</v>
      </c>
      <c r="IK55" s="1392">
        <f t="shared" ca="1" si="114"/>
        <v>1982759.2635375687</v>
      </c>
      <c r="IL55" s="1392">
        <f t="shared" ca="1" si="115"/>
        <v>139002155.75451639</v>
      </c>
      <c r="IM55" s="1392">
        <f t="shared" ca="1" si="116"/>
        <v>5.7546026760057307</v>
      </c>
      <c r="IN55" s="1392">
        <f t="shared" ca="1" si="117"/>
        <v>54.598150033144236</v>
      </c>
      <c r="IO55" s="1392">
        <f t="shared" ca="1" si="118"/>
        <v>115.58428452718766</v>
      </c>
      <c r="IP55" s="1392">
        <f t="shared" ca="1" si="119"/>
        <v>229175810.86564341</v>
      </c>
      <c r="IQ55" s="1392">
        <f t="shared" ca="1" si="120"/>
        <v>11409991.763828445</v>
      </c>
      <c r="IR55" s="1392">
        <f t="shared" ca="1" si="121"/>
        <v>1096.6331584284585</v>
      </c>
      <c r="IS55" s="1392">
        <f t="shared" ca="1" si="122"/>
        <v>190.56626845862999</v>
      </c>
      <c r="IT55" s="1392">
        <f t="shared" ca="1" si="123"/>
        <v>148.4131591025766</v>
      </c>
      <c r="IU55" s="1392">
        <f t="shared" ca="1" si="124"/>
        <v>2545913.2895553061</v>
      </c>
      <c r="IV55" s="1392">
        <f t="shared" ca="1" si="125"/>
        <v>403.42879349273511</v>
      </c>
      <c r="IW55" s="1392">
        <f t="shared" ca="1" si="126"/>
        <v>244.69193226422038</v>
      </c>
      <c r="IX55" s="1392">
        <f t="shared" ca="1" si="127"/>
        <v>22026.465794806718</v>
      </c>
      <c r="IY55" s="1392">
        <f t="shared" ca="1" si="128"/>
        <v>4197501.3938479675</v>
      </c>
      <c r="IZ55" s="1392">
        <f t="shared" ca="1" si="129"/>
        <v>51136035.380597278</v>
      </c>
      <c r="JA55" s="1392">
        <f t="shared" ca="1" si="130"/>
        <v>190.56626845862999</v>
      </c>
      <c r="JB55" s="1392">
        <f t="shared" ca="1" si="131"/>
        <v>854.05876252615155</v>
      </c>
      <c r="JC55" s="1392">
        <f t="shared" ca="1" si="132"/>
        <v>33.115451958692312</v>
      </c>
      <c r="JD55" s="1392">
        <f t="shared" ca="1" si="133"/>
        <v>729416.36984770128</v>
      </c>
      <c r="JE55" s="1392">
        <f t="shared" ca="1" si="134"/>
        <v>10404.565716560723</v>
      </c>
      <c r="JF55" s="1392">
        <f t="shared" ca="1" si="135"/>
        <v>568070.04002249124</v>
      </c>
      <c r="JG55" s="1392">
        <f t="shared" ca="1" si="136"/>
        <v>2545913.2895553061</v>
      </c>
      <c r="JH55" s="1392">
        <f t="shared" ca="1" si="137"/>
        <v>148.4131591025766</v>
      </c>
      <c r="JI55" s="1392">
        <f t="shared" ca="1" si="138"/>
        <v>244.69193226422038</v>
      </c>
      <c r="JJ55" s="1392">
        <f t="shared" ca="1" si="139"/>
        <v>1096.6331584284585</v>
      </c>
      <c r="JK55" s="1392">
        <f t="shared" ca="1" si="140"/>
        <v>294267566.04150879</v>
      </c>
      <c r="JL55" s="1392">
        <f t="shared" ca="1" si="141"/>
        <v>46630.028453524326</v>
      </c>
      <c r="JM55" s="1392">
        <f t="shared" ca="1" si="142"/>
        <v>344551.8961378237</v>
      </c>
      <c r="JN55" s="1392">
        <f t="shared" ca="1" si="143"/>
        <v>17154.228809290984</v>
      </c>
      <c r="JO55" s="1392">
        <f t="shared" ca="1" si="144"/>
        <v>244.69193226422038</v>
      </c>
      <c r="JP55" s="1392">
        <f t="shared" ca="1" si="145"/>
        <v>84309069.231265053</v>
      </c>
      <c r="JQ55" s="1392">
        <f t="shared" ca="1" si="146"/>
        <v>84309069.231265053</v>
      </c>
      <c r="JR55" s="1392">
        <f t="shared" ca="1" si="147"/>
        <v>1808.0424144560632</v>
      </c>
      <c r="JS55" s="1392">
        <f t="shared" ca="1" si="148"/>
        <v>936589.15823255444</v>
      </c>
      <c r="JT55" s="1392">
        <f t="shared" ca="1" si="149"/>
        <v>7.3890560989306504</v>
      </c>
      <c r="JU55" s="1392">
        <f t="shared" ca="1" si="150"/>
        <v>665.14163304436181</v>
      </c>
      <c r="JV55" s="1392">
        <f t="shared" ca="1" si="151"/>
        <v>2980.9579870417283</v>
      </c>
      <c r="JW55" s="1392">
        <f t="shared" ca="1" si="152"/>
        <v>178482300.96318725</v>
      </c>
      <c r="JX55" s="1392">
        <f t="shared" ca="1" si="153"/>
        <v>17154.228809290984</v>
      </c>
      <c r="JY55" s="1392">
        <f t="shared" ca="1" si="154"/>
        <v>344551.8961378237</v>
      </c>
      <c r="JZ55" s="1392">
        <f t="shared" ca="1" si="155"/>
        <v>10404.565716560723</v>
      </c>
      <c r="KA55" s="1392">
        <f t="shared" ca="1" si="156"/>
        <v>178482300.96318725</v>
      </c>
      <c r="KB55" s="1392">
        <f t="shared" ca="1" si="157"/>
        <v>403.42879349273511</v>
      </c>
      <c r="KC55" s="1392">
        <f t="shared" ca="1" si="158"/>
        <v>14650719.428953517</v>
      </c>
      <c r="KD55" s="1392">
        <f t="shared" ca="1" si="159"/>
        <v>1808.0424144560632</v>
      </c>
      <c r="KE55" s="1392">
        <f t="shared" ca="1" si="160"/>
        <v>18811896.119537231</v>
      </c>
      <c r="KF55" s="1392">
        <f t="shared" ca="1" si="161"/>
        <v>665.14163304436181</v>
      </c>
      <c r="KG55" s="1399">
        <f t="shared" ca="1" si="162"/>
        <v>568070.04002249124</v>
      </c>
      <c r="KH55" s="1406">
        <f t="shared" ca="1" si="163"/>
        <v>4211973769.1093764</v>
      </c>
      <c r="KI55" s="377"/>
      <c r="KJ55" s="1444">
        <f t="shared" ca="1" si="164"/>
        <v>88.644788814167626</v>
      </c>
      <c r="KK55" s="49">
        <f t="shared" ca="1" si="165"/>
        <v>-0.12544020044614967</v>
      </c>
      <c r="KL55" s="377"/>
      <c r="KM55" s="908">
        <f t="shared" ca="1" si="166"/>
        <v>1.923821080511806E-6</v>
      </c>
      <c r="KN55" s="1411">
        <f t="shared" ca="1" si="167"/>
        <v>1.3487027013053072E-4</v>
      </c>
      <c r="KO55" s="1411">
        <f t="shared" ca="1" si="168"/>
        <v>1.4982733639918707E-6</v>
      </c>
      <c r="KP55" s="1411">
        <f t="shared" ca="1" si="169"/>
        <v>1.1668564691318968E-6</v>
      </c>
      <c r="KQ55" s="1411">
        <f t="shared" ca="1" si="170"/>
        <v>9.0874873189185585E-7</v>
      </c>
      <c r="KR55" s="1411">
        <f t="shared" ca="1" si="171"/>
        <v>1.4215221888207112E-5</v>
      </c>
      <c r="KS55" s="1411">
        <f t="shared" ca="1" si="172"/>
        <v>1.0095286516718712E-8</v>
      </c>
      <c r="KT55" s="1411">
        <f t="shared" ca="1" si="173"/>
        <v>7.459463840681277E-8</v>
      </c>
      <c r="KU55" s="1411">
        <f t="shared" ca="1" si="174"/>
        <v>6.7147953597810112E-6</v>
      </c>
      <c r="KV55" s="1411">
        <f t="shared" ca="1" si="175"/>
        <v>1.214063481487683E-2</v>
      </c>
      <c r="KW55" s="1411">
        <f t="shared" ca="1" si="176"/>
        <v>1.6430562513436368E-3</v>
      </c>
      <c r="KX55" s="1411">
        <f t="shared" ca="1" si="177"/>
        <v>4.2926250579152455E-7</v>
      </c>
      <c r="KY55" s="1411">
        <f t="shared" ca="1" si="178"/>
        <v>8.6219679098157268E-6</v>
      </c>
      <c r="KZ55" s="1411">
        <f t="shared" ca="1" si="179"/>
        <v>3.5236012197188644E-8</v>
      </c>
      <c r="LA55" s="1411">
        <f t="shared" ca="1" si="180"/>
        <v>1.7317685480314297E-4</v>
      </c>
      <c r="LB55" s="1411">
        <f t="shared" ca="1" si="181"/>
        <v>9.4551359008100359E-3</v>
      </c>
      <c r="LC55" s="1411">
        <f t="shared" ca="1" si="182"/>
        <v>0.11518713600924886</v>
      </c>
      <c r="LD55" s="1411">
        <f t="shared" ca="1" si="183"/>
        <v>2.001652285908994E-2</v>
      </c>
      <c r="LE55" s="1411">
        <f t="shared" ca="1" si="184"/>
        <v>3.666154044951844E-4</v>
      </c>
      <c r="LF55" s="1411">
        <f t="shared" ca="1" si="185"/>
        <v>9.4551359008100359E-3</v>
      </c>
      <c r="LG55" s="1411">
        <f t="shared" ca="1" si="186"/>
        <v>5.4410550356799287E-2</v>
      </c>
      <c r="LH55" s="1411">
        <f t="shared" ca="1" si="187"/>
        <v>7.3636672435974087E-3</v>
      </c>
      <c r="LI55" s="1411">
        <f t="shared" ca="1" si="188"/>
        <v>2.4702351645368323E-6</v>
      </c>
      <c r="LJ55" s="1411">
        <f t="shared" ca="1" si="189"/>
        <v>3.4783501113900381E-3</v>
      </c>
      <c r="LK55" s="1411">
        <f t="shared" ca="1" si="190"/>
        <v>1.4215221888207112E-5</v>
      </c>
      <c r="LL55" s="1411">
        <f t="shared" ca="1" si="191"/>
        <v>7.459463840681277E-8</v>
      </c>
      <c r="LM55" s="1411">
        <f t="shared" ca="1" si="192"/>
        <v>1.214063481487683E-2</v>
      </c>
      <c r="LN55" s="1411">
        <f t="shared" ca="1" si="193"/>
        <v>2.3436938694809105E-5</v>
      </c>
      <c r="LO55" s="1411">
        <f t="shared" ca="1" si="194"/>
        <v>1.825270620831384E-5</v>
      </c>
      <c r="LP55" s="1411">
        <f t="shared" ca="1" si="195"/>
        <v>6.9864529594098543E-2</v>
      </c>
      <c r="LQ55" s="1411">
        <f t="shared" ca="1" si="196"/>
        <v>8.9707831723755418E-2</v>
      </c>
      <c r="LR55" s="1411">
        <f t="shared" ca="1" si="197"/>
        <v>1.5791685074643906E-7</v>
      </c>
      <c r="LS55" s="1411">
        <f t="shared" ca="1" si="198"/>
        <v>7.8622170445507277E-9</v>
      </c>
      <c r="LT55" s="1411">
        <f t="shared" ca="1" si="199"/>
        <v>1.6430562513436368E-3</v>
      </c>
      <c r="LU55" s="1411">
        <f t="shared" ca="1" si="200"/>
        <v>1.214063481487683E-2</v>
      </c>
      <c r="LV55" s="1411">
        <f t="shared" ca="1" si="201"/>
        <v>4.7686756908352644E-9</v>
      </c>
      <c r="LW55" s="1411">
        <f t="shared" ca="1" si="202"/>
        <v>2.4702351645368323E-6</v>
      </c>
      <c r="LX55" s="1411">
        <f t="shared" ca="1" si="203"/>
        <v>1.6430562513436368E-3</v>
      </c>
      <c r="LY55" s="1411">
        <f t="shared" ca="1" si="204"/>
        <v>2.027692500817123E-7</v>
      </c>
      <c r="LZ55" s="1411">
        <f t="shared" ca="1" si="205"/>
        <v>1.825270620831384E-5</v>
      </c>
      <c r="MA55" s="1411">
        <f t="shared" ca="1" si="206"/>
        <v>2.027692500817123E-7</v>
      </c>
      <c r="MB55" s="1411">
        <f t="shared" ca="1" si="207"/>
        <v>3.7138483622360765E-9</v>
      </c>
      <c r="MC55" s="1411">
        <f t="shared" ca="1" si="208"/>
        <v>4.5243935243909484E-8</v>
      </c>
      <c r="MD55" s="1411">
        <f t="shared" ca="1" si="209"/>
        <v>1.825270620831384E-5</v>
      </c>
      <c r="ME55" s="1411">
        <f t="shared" ca="1" si="210"/>
        <v>2.1097259877729114E-3</v>
      </c>
      <c r="MF55" s="1411">
        <f t="shared" ca="1" si="211"/>
        <v>3.4783501113900381E-3</v>
      </c>
      <c r="MG55" s="1411">
        <f t="shared" ca="1" si="212"/>
        <v>4.7686756908352644E-9</v>
      </c>
      <c r="MH55" s="1411">
        <f t="shared" ca="1" si="213"/>
        <v>2.1097259877729114E-3</v>
      </c>
      <c r="MI55" s="1411">
        <f t="shared" ca="1" si="214"/>
        <v>6.3708204568808244E-5</v>
      </c>
      <c r="MJ55" s="1411">
        <f t="shared" ca="1" si="215"/>
        <v>8.9707831723755418E-2</v>
      </c>
      <c r="MK55" s="1411">
        <f t="shared" ca="1" si="216"/>
        <v>7.3636672435974087E-3</v>
      </c>
      <c r="ML55" s="1411">
        <f t="shared" ca="1" si="217"/>
        <v>2.5701724104782667E-2</v>
      </c>
      <c r="MM55" s="1411">
        <f t="shared" ca="1" si="218"/>
        <v>1.4215221888207112E-5</v>
      </c>
      <c r="MN55" s="1411">
        <f t="shared" ca="1" si="219"/>
        <v>1.0503707199070923E-4</v>
      </c>
      <c r="MO55" s="1411">
        <f t="shared" ca="1" si="220"/>
        <v>2.7089417905470699E-3</v>
      </c>
      <c r="MP55" s="1411">
        <f t="shared" ca="1" si="221"/>
        <v>7.3636672435974087E-3</v>
      </c>
      <c r="MQ55" s="1411">
        <f t="shared" ca="1" si="222"/>
        <v>1.923821080511806E-6</v>
      </c>
      <c r="MR55" s="1411">
        <f t="shared" ca="1" si="223"/>
        <v>7.459463840681277E-8</v>
      </c>
      <c r="MS55" s="1411">
        <f t="shared" ca="1" si="224"/>
        <v>4.2374979225221383E-2</v>
      </c>
      <c r="MT55" s="1411">
        <f t="shared" ca="1" si="225"/>
        <v>8.6219679098157268E-6</v>
      </c>
      <c r="MU55" s="1411">
        <f t="shared" ca="1" si="226"/>
        <v>2.1371721723603225E-8</v>
      </c>
      <c r="MV55" s="1411">
        <f t="shared" ca="1" si="227"/>
        <v>2.5701724104782667E-2</v>
      </c>
      <c r="MW55" s="1411">
        <f t="shared" ca="1" si="228"/>
        <v>1.0503707199070923E-4</v>
      </c>
      <c r="MX55" s="1411">
        <f t="shared" ca="1" si="229"/>
        <v>2.001652285908994E-2</v>
      </c>
      <c r="MY55" s="1411">
        <f t="shared" ca="1" si="230"/>
        <v>3.864097934622667E-5</v>
      </c>
      <c r="MZ55" s="1411">
        <f t="shared" ca="1" si="231"/>
        <v>5.8094362804154068E-8</v>
      </c>
      <c r="NA55" s="1411">
        <f t="shared" ca="1" si="232"/>
        <v>9.9656399207242227E-4</v>
      </c>
      <c r="NB55" s="1411">
        <f t="shared" ca="1" si="233"/>
        <v>5.7348298155909154E-3</v>
      </c>
      <c r="NC55" s="1411">
        <f t="shared" ca="1" si="234"/>
        <v>1.0095286516718712E-8</v>
      </c>
      <c r="ND55" s="1411">
        <f t="shared" ca="1" si="235"/>
        <v>1.0640353705919967E-9</v>
      </c>
      <c r="NE55" s="1411">
        <f t="shared" ca="1" si="236"/>
        <v>1.5791685074643906E-7</v>
      </c>
      <c r="NF55" s="1411">
        <f t="shared" ca="1" si="237"/>
        <v>2.6036087082763151E-7</v>
      </c>
      <c r="NG55" s="1411">
        <f t="shared" ca="1" si="238"/>
        <v>1.214063481487683E-2</v>
      </c>
      <c r="NH55" s="1411">
        <f t="shared" ca="1" si="239"/>
        <v>1.7317685480314297E-4</v>
      </c>
      <c r="NI55" s="1411">
        <f t="shared" ca="1" si="240"/>
        <v>4.7686756908352644E-9</v>
      </c>
      <c r="NJ55" s="1411">
        <f t="shared" ca="1" si="241"/>
        <v>9.5781411662979158E-8</v>
      </c>
      <c r="NK55" s="1411">
        <f t="shared" ca="1" si="242"/>
        <v>2.2236348314927815E-4</v>
      </c>
      <c r="NL55" s="1411">
        <f t="shared" ca="1" si="243"/>
        <v>1.2298576702149692E-7</v>
      </c>
      <c r="NM55" s="1411">
        <f t="shared" ca="1" si="244"/>
        <v>4.2926250579152455E-7</v>
      </c>
      <c r="NN55" s="1411">
        <f t="shared" ca="1" si="245"/>
        <v>9.5781411662979158E-8</v>
      </c>
      <c r="NO55" s="1411">
        <f t="shared" ca="1" si="246"/>
        <v>3.4783501113900381E-3</v>
      </c>
      <c r="NP55" s="1411">
        <f t="shared" ca="1" si="247"/>
        <v>1.6430562513436368E-3</v>
      </c>
      <c r="NQ55" s="1411">
        <f t="shared" ca="1" si="248"/>
        <v>1.7542977482723187E-9</v>
      </c>
      <c r="NR55" s="1411">
        <f t="shared" ca="1" si="249"/>
        <v>4.9615999606261113E-5</v>
      </c>
      <c r="NS55" s="1411">
        <f t="shared" ca="1" si="250"/>
        <v>1.2796134951767913E-3</v>
      </c>
      <c r="NT55" s="1411">
        <f t="shared" ca="1" si="251"/>
        <v>3.5236012197188644E-8</v>
      </c>
      <c r="NU55" s="1411">
        <f t="shared" ca="1" si="252"/>
        <v>8.6219679098157268E-6</v>
      </c>
      <c r="NV55" s="1411">
        <f t="shared" ca="1" si="253"/>
        <v>1.2298576702149692E-7</v>
      </c>
      <c r="NW55" s="1411">
        <f t="shared" ca="1" si="254"/>
        <v>5.7348298155909154E-3</v>
      </c>
      <c r="NX55" s="1411">
        <f t="shared" ca="1" si="255"/>
        <v>2.1371721723603225E-8</v>
      </c>
      <c r="NY55" s="1411">
        <f t="shared" ca="1" si="256"/>
        <v>2.8923480127179106E-9</v>
      </c>
      <c r="NZ55" s="1411">
        <f t="shared" ca="1" si="257"/>
        <v>2.7089417905470699E-3</v>
      </c>
      <c r="OA55" s="1411">
        <f t="shared" ca="1" si="258"/>
        <v>9.5781411662979158E-8</v>
      </c>
      <c r="OB55" s="1411">
        <f t="shared" ca="1" si="259"/>
        <v>2.027692500817123E-7</v>
      </c>
      <c r="OC55" s="1411">
        <f t="shared" ca="1" si="260"/>
        <v>7.3636672435974087E-3</v>
      </c>
      <c r="OD55" s="1411">
        <f t="shared" ca="1" si="261"/>
        <v>4.7074349752107406E-4</v>
      </c>
      <c r="OE55" s="1411">
        <f t="shared" ca="1" si="262"/>
        <v>3.300166700323693E-2</v>
      </c>
      <c r="OF55" s="1411">
        <f t="shared" ca="1" si="263"/>
        <v>1.3662484600948841E-9</v>
      </c>
      <c r="OG55" s="1411">
        <f t="shared" ca="1" si="264"/>
        <v>1.2962604476211882E-8</v>
      </c>
      <c r="OH55" s="1411">
        <f t="shared" ca="1" si="265"/>
        <v>2.744183389148409E-8</v>
      </c>
      <c r="OI55" s="1411">
        <f t="shared" ca="1" si="266"/>
        <v>5.4410550356799287E-2</v>
      </c>
      <c r="OJ55" s="1411">
        <f t="shared" ca="1" si="267"/>
        <v>2.7089417905470699E-3</v>
      </c>
      <c r="OK55" s="1411">
        <f t="shared" ca="1" si="268"/>
        <v>2.6036087082763151E-7</v>
      </c>
      <c r="OL55" s="1411">
        <f t="shared" ca="1" si="269"/>
        <v>4.5243935243909484E-8</v>
      </c>
      <c r="OM55" s="1411">
        <f t="shared" ca="1" si="270"/>
        <v>3.5236012197188644E-8</v>
      </c>
      <c r="ON55" s="1411">
        <f t="shared" ca="1" si="271"/>
        <v>6.0444661555754192E-4</v>
      </c>
      <c r="OO55" s="1411">
        <f t="shared" ca="1" si="272"/>
        <v>9.5781411662979158E-8</v>
      </c>
      <c r="OP55" s="1411">
        <f t="shared" ca="1" si="273"/>
        <v>5.8094362804154068E-8</v>
      </c>
      <c r="OQ55" s="1411">
        <f t="shared" ca="1" si="274"/>
        <v>5.2294878843616883E-6</v>
      </c>
      <c r="OR55" s="1411">
        <f t="shared" ca="1" si="275"/>
        <v>9.9656399207242227E-4</v>
      </c>
      <c r="OS55" s="1411">
        <f t="shared" ca="1" si="276"/>
        <v>1.214063481487683E-2</v>
      </c>
      <c r="OT55" s="1411">
        <f t="shared" ca="1" si="277"/>
        <v>4.5243935243909484E-8</v>
      </c>
      <c r="OU55" s="1411">
        <f t="shared" ca="1" si="278"/>
        <v>2.027692500817123E-7</v>
      </c>
      <c r="OV55" s="1411">
        <f t="shared" ca="1" si="279"/>
        <v>7.8622170445507277E-9</v>
      </c>
      <c r="OW55" s="1411">
        <f t="shared" ca="1" si="280"/>
        <v>1.7317685480314297E-4</v>
      </c>
      <c r="OX55" s="1411">
        <f t="shared" ca="1" si="281"/>
        <v>2.4702351645368323E-6</v>
      </c>
      <c r="OY55" s="1411">
        <f t="shared" ca="1" si="282"/>
        <v>1.3487027013053072E-4</v>
      </c>
      <c r="OZ55" s="1411">
        <f t="shared" ca="1" si="283"/>
        <v>6.0444661555754192E-4</v>
      </c>
      <c r="PA55" s="1411">
        <f t="shared" ca="1" si="284"/>
        <v>3.5236012197188644E-8</v>
      </c>
      <c r="PB55" s="1411">
        <f t="shared" ca="1" si="285"/>
        <v>5.8094362804154068E-8</v>
      </c>
      <c r="PC55" s="1411">
        <f t="shared" ca="1" si="286"/>
        <v>2.6036087082763151E-7</v>
      </c>
      <c r="PD55" s="1411">
        <f t="shared" ca="1" si="287"/>
        <v>6.9864529594098543E-2</v>
      </c>
      <c r="PE55" s="1411">
        <f t="shared" ca="1" si="288"/>
        <v>1.1070825938069473E-5</v>
      </c>
      <c r="PF55" s="1411">
        <f t="shared" ca="1" si="289"/>
        <v>8.1802953917891875E-5</v>
      </c>
      <c r="PG55" s="1411">
        <f t="shared" ca="1" si="290"/>
        <v>4.0727292594033066E-6</v>
      </c>
      <c r="PH55" s="1411">
        <f t="shared" ca="1" si="291"/>
        <v>5.8094362804154068E-8</v>
      </c>
      <c r="PI55" s="1411">
        <f t="shared" ca="1" si="292"/>
        <v>2.001652285908994E-2</v>
      </c>
      <c r="PJ55" s="1411">
        <f t="shared" ca="1" si="293"/>
        <v>2.001652285908994E-2</v>
      </c>
      <c r="PK55" s="1411">
        <f t="shared" ca="1" si="294"/>
        <v>4.2926250579152455E-7</v>
      </c>
      <c r="PL55" s="1411">
        <f t="shared" ca="1" si="295"/>
        <v>2.2236348314927815E-4</v>
      </c>
      <c r="PM55" s="1411">
        <f t="shared" ca="1" si="296"/>
        <v>1.7542977482723187E-9</v>
      </c>
      <c r="PN55" s="1411">
        <f t="shared" ca="1" si="297"/>
        <v>1.5791685074643906E-7</v>
      </c>
      <c r="PO55" s="1411">
        <f t="shared" ca="1" si="298"/>
        <v>7.0773422401252346E-7</v>
      </c>
      <c r="PP55" s="1411">
        <f t="shared" ca="1" si="299"/>
        <v>4.2374979225221383E-2</v>
      </c>
      <c r="PQ55" s="1411">
        <f t="shared" ca="1" si="300"/>
        <v>4.0727292594033066E-6</v>
      </c>
      <c r="PR55" s="1411">
        <f t="shared" ca="1" si="301"/>
        <v>8.1802953917891875E-5</v>
      </c>
      <c r="PS55" s="1411">
        <f t="shared" ca="1" si="302"/>
        <v>2.4702351645368323E-6</v>
      </c>
      <c r="PT55" s="1411">
        <f t="shared" ca="1" si="303"/>
        <v>4.2374979225221383E-2</v>
      </c>
      <c r="PU55" s="1411">
        <f t="shared" ca="1" si="304"/>
        <v>9.5781411662979158E-8</v>
      </c>
      <c r="PV55" s="1411">
        <f t="shared" ca="1" si="305"/>
        <v>3.4783501113900381E-3</v>
      </c>
      <c r="PW55" s="1411">
        <f t="shared" ca="1" si="306"/>
        <v>4.2926250579152455E-7</v>
      </c>
      <c r="PX55" s="1411">
        <f t="shared" ca="1" si="307"/>
        <v>4.4662899511634458E-3</v>
      </c>
      <c r="PY55" s="1411">
        <f t="shared" ca="1" si="308"/>
        <v>1.5791685074643906E-7</v>
      </c>
      <c r="PZ55" s="1412">
        <f t="shared" ca="1" si="309"/>
        <v>1.3487027013053072E-4</v>
      </c>
      <c r="QB55" s="33" t="s">
        <v>1072</v>
      </c>
      <c r="QC55" s="1432">
        <f t="shared" ca="1" si="336"/>
        <v>0.4287960515447502</v>
      </c>
      <c r="QD55" s="744">
        <f t="shared" ca="1" si="337"/>
        <v>0.26328306663567119</v>
      </c>
      <c r="QE55" s="1068">
        <f t="shared" ca="1" si="338"/>
        <v>0.30792088181957883</v>
      </c>
      <c r="QF55" s="744">
        <f t="shared" ca="1" si="339"/>
        <v>0.34868878637856265</v>
      </c>
      <c r="QG55" s="744">
        <f t="shared" ca="1" si="340"/>
        <v>0.51226713589674877</v>
      </c>
      <c r="QH55" s="1068">
        <f t="shared" ca="1" si="341"/>
        <v>0.13904407772468916</v>
      </c>
      <c r="QI55" s="744">
        <f t="shared" ca="1" si="342"/>
        <v>0.50586282390891169</v>
      </c>
      <c r="QJ55" s="1068">
        <f t="shared" ca="1" si="343"/>
        <v>0.49413717609108881</v>
      </c>
      <c r="QK55" s="744">
        <f t="shared" ca="1" si="344"/>
        <v>0.53267634392028662</v>
      </c>
      <c r="QL55" s="1068">
        <f t="shared" ca="1" si="345"/>
        <v>0.46732365607971393</v>
      </c>
      <c r="QM55" s="744">
        <f t="shared" ca="1" si="346"/>
        <v>0.68014402848510025</v>
      </c>
      <c r="QN55" s="1068">
        <f t="shared" ca="1" si="347"/>
        <v>0.31985597151490019</v>
      </c>
      <c r="QO55" s="744">
        <f t="shared" ca="1" si="348"/>
        <v>0.49174045664183041</v>
      </c>
      <c r="QP55" s="1068">
        <f t="shared" ca="1" si="349"/>
        <v>0.50825954335817014</v>
      </c>
      <c r="QR55" s="1432">
        <f t="shared" ca="1" si="350"/>
        <v>2.3582472965210419E-2</v>
      </c>
      <c r="QS55" s="744">
        <f t="shared" ca="1" si="351"/>
        <v>0.38204958163160652</v>
      </c>
      <c r="QT55" s="744">
        <f t="shared" ca="1" si="352"/>
        <v>2.3163996947933325E-2</v>
      </c>
      <c r="QU55" s="743">
        <f t="shared" ca="1" si="353"/>
        <v>0.22123769762116288</v>
      </c>
      <c r="QV55" s="744">
        <f t="shared" ca="1" si="354"/>
        <v>1.9307446051016908E-2</v>
      </c>
      <c r="QW55" s="744">
        <f t="shared" ca="1" si="355"/>
        <v>2.2737922963491461E-2</v>
      </c>
      <c r="QX55" s="743">
        <f t="shared" ca="1" si="356"/>
        <v>0.10386861579218921</v>
      </c>
      <c r="QY55" s="744">
        <f t="shared" ca="1" si="357"/>
        <v>0.11091010821412531</v>
      </c>
      <c r="QZ55" s="745">
        <f t="shared" ca="1" si="358"/>
        <v>9.3142157813264403E-2</v>
      </c>
      <c r="RC55" s="744">
        <f t="shared" ca="1" si="359"/>
        <v>2.3427805083621231E-2</v>
      </c>
      <c r="RD55" s="744">
        <f t="shared" ca="1" si="360"/>
        <v>0.17176913351101128</v>
      </c>
      <c r="RE55" s="744">
        <f t="shared" ca="1" si="361"/>
        <v>7.7163112888535539E-3</v>
      </c>
      <c r="RF55" s="744">
        <f t="shared" ca="1" si="362"/>
        <v>8.8208905016435163E-2</v>
      </c>
      <c r="RG55" s="744">
        <f t="shared" ca="1" si="363"/>
        <v>1.2536923732601082E-2</v>
      </c>
      <c r="RH55" s="744">
        <f t="shared" ca="1" si="364"/>
        <v>1.627850516198795E-2</v>
      </c>
      <c r="RI55" s="744">
        <f t="shared" ca="1" si="365"/>
        <v>1.3747109266113064E-2</v>
      </c>
      <c r="RJ55" s="744">
        <f t="shared" ca="1" si="366"/>
        <v>0.10999484027662743</v>
      </c>
      <c r="RK55" s="744">
        <f t="shared" ca="1" si="367"/>
        <v>5.0457642753838142E-2</v>
      </c>
      <c r="RL55" s="1251"/>
      <c r="RM55" s="744">
        <f t="shared" ca="1" si="368"/>
        <v>9.6521786200802137E-3</v>
      </c>
      <c r="RN55" s="744">
        <f t="shared" ca="1" si="369"/>
        <v>0.22484580988786426</v>
      </c>
      <c r="RO55" s="744">
        <f t="shared" ca="1" si="370"/>
        <v>9.3617888175781209E-3</v>
      </c>
      <c r="RP55" s="744">
        <f t="shared" ca="1" si="371"/>
        <v>5.6015166735608433E-2</v>
      </c>
      <c r="RQ55" s="744">
        <f t="shared" ca="1" si="372"/>
        <v>2.2344094987721553E-4</v>
      </c>
      <c r="RR55" s="744">
        <f t="shared" ca="1" si="373"/>
        <v>9.1231029766460532E-3</v>
      </c>
      <c r="RS55" s="744">
        <f t="shared" ca="1" si="374"/>
        <v>7.0262271290921274E-2</v>
      </c>
      <c r="RT55" s="744">
        <f t="shared" ca="1" si="375"/>
        <v>4.0776586757865163E-2</v>
      </c>
      <c r="RU55" s="744">
        <f t="shared" ca="1" si="376"/>
        <v>4.7063310043273208E-2</v>
      </c>
      <c r="RV55" s="744"/>
      <c r="RW55" s="744">
        <f t="shared" ca="1" si="377"/>
        <v>1.1274548089220654E-2</v>
      </c>
      <c r="RX55" s="744">
        <f t="shared" ca="1" si="378"/>
        <v>0.1151746330460376</v>
      </c>
      <c r="RY55" s="744">
        <f t="shared" ca="1" si="379"/>
        <v>1.4287123765603076E-2</v>
      </c>
      <c r="RZ55" s="744">
        <f t="shared" ca="1" si="380"/>
        <v>0.10564316150673642</v>
      </c>
      <c r="SA55" s="744">
        <f t="shared" ca="1" si="381"/>
        <v>6.7324376793897189E-3</v>
      </c>
      <c r="SB55" s="744">
        <f t="shared" ca="1" si="382"/>
        <v>1.0601718131594412E-2</v>
      </c>
      <c r="SC55" s="744">
        <f t="shared" ca="1" si="383"/>
        <v>1.2141179943830981E-2</v>
      </c>
      <c r="SD55" s="744">
        <f t="shared" ca="1" si="384"/>
        <v>4.0301659918378523E-2</v>
      </c>
      <c r="SE55" s="744">
        <f t="shared" ca="1" si="385"/>
        <v>3.6995094341087682E-3</v>
      </c>
      <c r="SF55" s="744"/>
      <c r="SG55" s="744">
        <f t="shared" ca="1" si="386"/>
        <v>2.1746562157331131E-2</v>
      </c>
      <c r="SH55" s="744">
        <f t="shared" ca="1" si="387"/>
        <v>0.11020187515916993</v>
      </c>
      <c r="SI55" s="744">
        <f t="shared" ca="1" si="388"/>
        <v>8.9107024967909048E-3</v>
      </c>
      <c r="SJ55" s="744">
        <f t="shared" ca="1" si="389"/>
        <v>0.16860520367054704</v>
      </c>
      <c r="SK55" s="744">
        <f t="shared" ca="1" si="390"/>
        <v>5.9086407382534078E-3</v>
      </c>
      <c r="SL55" s="744">
        <f t="shared" ca="1" si="391"/>
        <v>4.8727399017690657E-3</v>
      </c>
      <c r="SM55" s="744">
        <f t="shared" ca="1" si="392"/>
        <v>4.3101297884926776E-3</v>
      </c>
      <c r="SN55" s="744">
        <f t="shared" ca="1" si="393"/>
        <v>9.0569896308771103E-2</v>
      </c>
      <c r="SO55" s="744">
        <f t="shared" ca="1" si="394"/>
        <v>9.3133793137044701E-2</v>
      </c>
      <c r="SP55" s="100"/>
      <c r="SQ55" s="114"/>
      <c r="SR55" s="806">
        <f t="shared" ca="1" si="395"/>
        <v>0.99344140532600811</v>
      </c>
      <c r="SS55" s="806">
        <f t="shared" ca="1" si="396"/>
        <v>0.44959906192657645</v>
      </c>
      <c r="ST55" s="806">
        <f t="shared" ca="1" si="397"/>
        <v>0.33311657337021011</v>
      </c>
      <c r="SU55" s="806">
        <f t="shared" ca="1" si="398"/>
        <v>0.39870648612281251</v>
      </c>
      <c r="SV55" s="806">
        <f t="shared" ca="1" si="399"/>
        <v>0.64933102490480721</v>
      </c>
      <c r="SW55" s="806">
        <f t="shared" ca="1" si="400"/>
        <v>0.71591874016483814</v>
      </c>
      <c r="SX55" s="806">
        <f t="shared" ca="1" si="401"/>
        <v>0.13235094317244989</v>
      </c>
      <c r="SY55" s="806">
        <f t="shared" ca="1" si="402"/>
        <v>0.99174765986405089</v>
      </c>
      <c r="SZ55" s="806">
        <f t="shared" ca="1" si="403"/>
        <v>0.54172722576384691</v>
      </c>
      <c r="TA55" s="806"/>
      <c r="TB55" s="806">
        <f t="shared" ca="1" si="404"/>
        <v>0.40929459070384183</v>
      </c>
      <c r="TC55" s="806">
        <f t="shared" ca="1" si="405"/>
        <v>0.58852520902554761</v>
      </c>
      <c r="TD55" s="806">
        <f t="shared" ca="1" si="406"/>
        <v>0.4041525665290408</v>
      </c>
      <c r="TE55" s="806">
        <f t="shared" ca="1" si="407"/>
        <v>0.2531899732184259</v>
      </c>
      <c r="TF55" s="806">
        <f t="shared" ca="1" si="408"/>
        <v>1.1572786441397155E-2</v>
      </c>
      <c r="TG55" s="806">
        <f t="shared" ca="1" si="409"/>
        <v>0.40122851112189623</v>
      </c>
      <c r="TH55" s="806">
        <f t="shared" ca="1" si="410"/>
        <v>0.67645333246276784</v>
      </c>
      <c r="TI55" s="806">
        <f t="shared" ca="1" si="411"/>
        <v>0.36765437717490146</v>
      </c>
      <c r="TJ55" s="806">
        <f t="shared" ca="1" si="412"/>
        <v>0.50528472979580152</v>
      </c>
      <c r="TK55" s="806"/>
      <c r="TL55" s="806">
        <f t="shared" ca="1" si="413"/>
        <v>0.47809015220130691</v>
      </c>
      <c r="TM55" s="806">
        <f t="shared" ca="1" si="414"/>
        <v>0.30146514636703725</v>
      </c>
      <c r="TN55" s="806">
        <f t="shared" ca="1" si="415"/>
        <v>0.61678145605513746</v>
      </c>
      <c r="TO55" s="806">
        <f t="shared" ca="1" si="416"/>
        <v>0.47750976728945554</v>
      </c>
      <c r="TP55" s="806">
        <f t="shared" ca="1" si="417"/>
        <v>0.34869643875219458</v>
      </c>
      <c r="TQ55" s="806">
        <f t="shared" ca="1" si="418"/>
        <v>0.46625710486471333</v>
      </c>
      <c r="TR55" s="806">
        <f t="shared" ca="1" si="419"/>
        <v>0.11688978283990939</v>
      </c>
      <c r="TS55" s="806">
        <f t="shared" ca="1" si="420"/>
        <v>0.36337228921074821</v>
      </c>
      <c r="TT55" s="806">
        <f t="shared" ca="1" si="421"/>
        <v>3.9718957784140148E-2</v>
      </c>
      <c r="TU55" s="806"/>
      <c r="TV55" s="806">
        <f t="shared" ca="1" si="422"/>
        <v>0.92214935174153789</v>
      </c>
      <c r="TW55" s="806">
        <f t="shared" ca="1" si="313"/>
        <v>0.28844914497362995</v>
      </c>
      <c r="TX55" s="806">
        <f t="shared" ca="1" si="314"/>
        <v>0.3846789704220675</v>
      </c>
      <c r="TY55" s="806">
        <f t="shared" ca="1" si="315"/>
        <v>0.76209979349567603</v>
      </c>
      <c r="TZ55" s="806">
        <f t="shared" ca="1" si="316"/>
        <v>0.30602912071543531</v>
      </c>
      <c r="UA55" s="806">
        <f t="shared" ca="1" si="317"/>
        <v>0.21430013240843723</v>
      </c>
      <c r="UB55" s="806">
        <f t="shared" ca="1" si="318"/>
        <v>4.1495977929618212E-2</v>
      </c>
      <c r="UC55" s="806">
        <f t="shared" ca="1" si="319"/>
        <v>0.81660632891922724</v>
      </c>
      <c r="UD55" s="1439">
        <f t="shared" ca="1" si="320"/>
        <v>0.9999101945196881</v>
      </c>
    </row>
    <row r="56" spans="3:551" s="7" customFormat="1" x14ac:dyDescent="0.25">
      <c r="C56" s="21"/>
      <c r="D56" s="1308">
        <v>44031</v>
      </c>
      <c r="E56" s="233">
        <f t="shared" ca="1" si="321"/>
        <v>39</v>
      </c>
      <c r="F56" s="1392">
        <f t="shared" ca="1" si="321"/>
        <v>5</v>
      </c>
      <c r="G56" s="1392">
        <f t="shared" ca="1" si="321"/>
        <v>43</v>
      </c>
      <c r="H56" s="1392">
        <f t="shared" ca="1" si="321"/>
        <v>26</v>
      </c>
      <c r="I56" s="1392">
        <f t="shared" ca="1" si="321"/>
        <v>37</v>
      </c>
      <c r="J56" s="1392">
        <f t="shared" ca="1" si="321"/>
        <v>40</v>
      </c>
      <c r="K56" s="1392">
        <f t="shared" ca="1" si="321"/>
        <v>64</v>
      </c>
      <c r="L56" s="1392">
        <f t="shared" ca="1" si="321"/>
        <v>18</v>
      </c>
      <c r="M56" s="1392">
        <f t="shared" ca="1" si="321"/>
        <v>54</v>
      </c>
      <c r="N56" s="1392">
        <f t="shared" ca="1" si="321"/>
        <v>37</v>
      </c>
      <c r="O56" s="1392">
        <f t="shared" ca="1" si="322"/>
        <v>24</v>
      </c>
      <c r="P56" s="1392">
        <f t="shared" ca="1" si="322"/>
        <v>58</v>
      </c>
      <c r="Q56" s="1392">
        <f t="shared" ca="1" si="322"/>
        <v>36</v>
      </c>
      <c r="R56" s="1392">
        <f t="shared" ca="1" si="322"/>
        <v>49</v>
      </c>
      <c r="S56" s="1392">
        <f t="shared" ca="1" si="322"/>
        <v>54</v>
      </c>
      <c r="T56" s="1392">
        <f t="shared" ca="1" si="322"/>
        <v>45</v>
      </c>
      <c r="U56" s="1392">
        <f t="shared" ca="1" si="322"/>
        <v>65</v>
      </c>
      <c r="V56" s="1392">
        <f t="shared" ca="1" si="322"/>
        <v>6</v>
      </c>
      <c r="W56" s="1392">
        <f t="shared" ca="1" si="322"/>
        <v>78</v>
      </c>
      <c r="X56" s="1392">
        <f t="shared" ca="1" si="322"/>
        <v>42</v>
      </c>
      <c r="Y56" s="1392">
        <f t="shared" ca="1" si="323"/>
        <v>77</v>
      </c>
      <c r="Z56" s="1392">
        <f t="shared" ca="1" si="323"/>
        <v>77</v>
      </c>
      <c r="AA56" s="1392">
        <f t="shared" ca="1" si="323"/>
        <v>35</v>
      </c>
      <c r="AB56" s="1392">
        <f t="shared" ca="1" si="323"/>
        <v>74</v>
      </c>
      <c r="AC56" s="1392">
        <f t="shared" ca="1" si="323"/>
        <v>69</v>
      </c>
      <c r="AD56" s="1392">
        <f t="shared" ca="1" si="323"/>
        <v>12</v>
      </c>
      <c r="AE56" s="1392">
        <f t="shared" ca="1" si="323"/>
        <v>13</v>
      </c>
      <c r="AF56" s="1392">
        <f t="shared" ca="1" si="323"/>
        <v>80</v>
      </c>
      <c r="AG56" s="1392">
        <f t="shared" ca="1" si="323"/>
        <v>45</v>
      </c>
      <c r="AH56" s="1392">
        <f t="shared" ca="1" si="323"/>
        <v>34</v>
      </c>
      <c r="AI56" s="1392">
        <f t="shared" ca="1" si="324"/>
        <v>41</v>
      </c>
      <c r="AJ56" s="1392">
        <f t="shared" ca="1" si="324"/>
        <v>26</v>
      </c>
      <c r="AK56" s="1392">
        <f t="shared" ca="1" si="324"/>
        <v>40</v>
      </c>
      <c r="AL56" s="1392">
        <f t="shared" ca="1" si="324"/>
        <v>35</v>
      </c>
      <c r="AM56" s="1392">
        <f t="shared" ca="1" si="324"/>
        <v>14</v>
      </c>
      <c r="AN56" s="1392">
        <f t="shared" ca="1" si="324"/>
        <v>46</v>
      </c>
      <c r="AO56" s="1392">
        <f t="shared" ca="1" si="324"/>
        <v>62</v>
      </c>
      <c r="AP56" s="1392">
        <f t="shared" ca="1" si="324"/>
        <v>44</v>
      </c>
      <c r="AQ56" s="1392">
        <f t="shared" ca="1" si="324"/>
        <v>76</v>
      </c>
      <c r="AR56" s="1392">
        <f t="shared" ca="1" si="324"/>
        <v>57</v>
      </c>
      <c r="AS56" s="1392">
        <f t="shared" ca="1" si="325"/>
        <v>69</v>
      </c>
      <c r="AT56" s="1392">
        <f t="shared" ca="1" si="325"/>
        <v>14</v>
      </c>
      <c r="AU56" s="1392">
        <f t="shared" ca="1" si="325"/>
        <v>68</v>
      </c>
      <c r="AV56" s="1392">
        <f t="shared" ca="1" si="325"/>
        <v>46</v>
      </c>
      <c r="AW56" s="1392">
        <f t="shared" ca="1" si="325"/>
        <v>63</v>
      </c>
      <c r="AX56" s="1392">
        <f t="shared" ca="1" si="325"/>
        <v>69</v>
      </c>
      <c r="AY56" s="1392">
        <f t="shared" ca="1" si="325"/>
        <v>43</v>
      </c>
      <c r="AZ56" s="1392">
        <f t="shared" ca="1" si="325"/>
        <v>35</v>
      </c>
      <c r="BA56" s="1392">
        <f t="shared" ca="1" si="325"/>
        <v>61</v>
      </c>
      <c r="BB56" s="1392">
        <f t="shared" ca="1" si="325"/>
        <v>45</v>
      </c>
      <c r="BC56" s="1392">
        <f t="shared" ca="1" si="326"/>
        <v>11</v>
      </c>
      <c r="BD56" s="1392">
        <f t="shared" ca="1" si="326"/>
        <v>8</v>
      </c>
      <c r="BE56" s="1392">
        <f t="shared" ca="1" si="326"/>
        <v>16</v>
      </c>
      <c r="BF56" s="1392">
        <f t="shared" ca="1" si="326"/>
        <v>20</v>
      </c>
      <c r="BG56" s="1392">
        <f t="shared" ca="1" si="326"/>
        <v>14</v>
      </c>
      <c r="BH56" s="1392">
        <f t="shared" ca="1" si="326"/>
        <v>7</v>
      </c>
      <c r="BI56" s="1392">
        <f t="shared" ca="1" si="326"/>
        <v>43</v>
      </c>
      <c r="BJ56" s="1392">
        <f t="shared" ca="1" si="326"/>
        <v>30</v>
      </c>
      <c r="BK56" s="1392">
        <f t="shared" ca="1" si="326"/>
        <v>28</v>
      </c>
      <c r="BL56" s="1392">
        <f t="shared" ca="1" si="326"/>
        <v>55</v>
      </c>
      <c r="BM56" s="1392">
        <f t="shared" ca="1" si="327"/>
        <v>30</v>
      </c>
      <c r="BN56" s="1392">
        <f t="shared" ca="1" si="327"/>
        <v>21</v>
      </c>
      <c r="BO56" s="1392">
        <f t="shared" ca="1" si="327"/>
        <v>43</v>
      </c>
      <c r="BP56" s="1392">
        <f t="shared" ca="1" si="327"/>
        <v>52</v>
      </c>
      <c r="BQ56" s="1392">
        <f t="shared" ca="1" si="327"/>
        <v>47</v>
      </c>
      <c r="BR56" s="1392">
        <f t="shared" ca="1" si="327"/>
        <v>10</v>
      </c>
      <c r="BS56" s="1392">
        <f t="shared" ca="1" si="327"/>
        <v>43</v>
      </c>
      <c r="BT56" s="1392">
        <f t="shared" ca="1" si="327"/>
        <v>42</v>
      </c>
      <c r="BU56" s="1392">
        <f t="shared" ca="1" si="327"/>
        <v>55</v>
      </c>
      <c r="BV56" s="1392">
        <f t="shared" ca="1" si="327"/>
        <v>39</v>
      </c>
      <c r="BW56" s="1392">
        <f t="shared" ca="1" si="328"/>
        <v>60</v>
      </c>
      <c r="BX56" s="1392">
        <f t="shared" ca="1" si="328"/>
        <v>56</v>
      </c>
      <c r="BY56" s="1392">
        <f t="shared" ca="1" si="328"/>
        <v>6</v>
      </c>
      <c r="BZ56" s="1392">
        <f t="shared" ca="1" si="328"/>
        <v>77</v>
      </c>
      <c r="CA56" s="1392">
        <f t="shared" ca="1" si="328"/>
        <v>47</v>
      </c>
      <c r="CB56" s="1392">
        <f t="shared" ca="1" si="328"/>
        <v>40</v>
      </c>
      <c r="CC56" s="1392">
        <f t="shared" ca="1" si="328"/>
        <v>49</v>
      </c>
      <c r="CD56" s="1392">
        <f t="shared" ca="1" si="328"/>
        <v>64</v>
      </c>
      <c r="CE56" s="1392">
        <f t="shared" ca="1" si="328"/>
        <v>44</v>
      </c>
      <c r="CF56" s="1392">
        <f t="shared" ca="1" si="328"/>
        <v>65</v>
      </c>
      <c r="CG56" s="1392">
        <f t="shared" ca="1" si="329"/>
        <v>22</v>
      </c>
      <c r="CH56" s="1392">
        <f t="shared" ca="1" si="329"/>
        <v>22</v>
      </c>
      <c r="CI56" s="1392">
        <f t="shared" ca="1" si="329"/>
        <v>58</v>
      </c>
      <c r="CJ56" s="1392">
        <f t="shared" ca="1" si="329"/>
        <v>14</v>
      </c>
      <c r="CK56" s="1392">
        <f t="shared" ca="1" si="329"/>
        <v>6</v>
      </c>
      <c r="CL56" s="1392">
        <f t="shared" ca="1" si="329"/>
        <v>34</v>
      </c>
      <c r="CM56" s="1392">
        <f t="shared" ca="1" si="329"/>
        <v>76</v>
      </c>
      <c r="CN56" s="1392">
        <f t="shared" ca="1" si="329"/>
        <v>49</v>
      </c>
      <c r="CO56" s="1392">
        <f t="shared" ca="1" si="329"/>
        <v>18</v>
      </c>
      <c r="CP56" s="1392">
        <f t="shared" ca="1" si="329"/>
        <v>64</v>
      </c>
      <c r="CQ56" s="1392">
        <f t="shared" ca="1" si="330"/>
        <v>47</v>
      </c>
      <c r="CR56" s="1392">
        <f t="shared" ca="1" si="330"/>
        <v>25</v>
      </c>
      <c r="CS56" s="1392">
        <f t="shared" ca="1" si="330"/>
        <v>27</v>
      </c>
      <c r="CT56" s="1392">
        <f t="shared" ca="1" si="330"/>
        <v>61</v>
      </c>
      <c r="CU56" s="1392">
        <f t="shared" ca="1" si="330"/>
        <v>76</v>
      </c>
      <c r="CV56" s="1392">
        <f t="shared" ca="1" si="330"/>
        <v>71</v>
      </c>
      <c r="CW56" s="1392">
        <f t="shared" ca="1" si="330"/>
        <v>70</v>
      </c>
      <c r="CX56" s="1392">
        <f t="shared" ca="1" si="330"/>
        <v>71</v>
      </c>
      <c r="CY56" s="1392">
        <f t="shared" ca="1" si="330"/>
        <v>55</v>
      </c>
      <c r="CZ56" s="1392">
        <f t="shared" ca="1" si="330"/>
        <v>72</v>
      </c>
      <c r="DA56" s="1392">
        <f t="shared" ca="1" si="331"/>
        <v>72</v>
      </c>
      <c r="DB56" s="1392">
        <f t="shared" ca="1" si="331"/>
        <v>9</v>
      </c>
      <c r="DC56" s="1392">
        <f t="shared" ca="1" si="331"/>
        <v>24</v>
      </c>
      <c r="DD56" s="1392">
        <f t="shared" ca="1" si="331"/>
        <v>29</v>
      </c>
      <c r="DE56" s="1392">
        <f t="shared" ca="1" si="331"/>
        <v>6</v>
      </c>
      <c r="DF56" s="1392">
        <f t="shared" ca="1" si="331"/>
        <v>55</v>
      </c>
      <c r="DG56" s="1392">
        <f t="shared" ca="1" si="331"/>
        <v>67</v>
      </c>
      <c r="DH56" s="1392">
        <f t="shared" ca="1" si="331"/>
        <v>49</v>
      </c>
      <c r="DI56" s="1392">
        <f t="shared" ca="1" si="331"/>
        <v>77</v>
      </c>
      <c r="DJ56" s="1392">
        <f t="shared" ca="1" si="331"/>
        <v>73</v>
      </c>
      <c r="DK56" s="1392">
        <f t="shared" ca="1" si="332"/>
        <v>36</v>
      </c>
      <c r="DL56" s="1392">
        <f t="shared" ca="1" si="332"/>
        <v>25</v>
      </c>
      <c r="DM56" s="1392">
        <f t="shared" ca="1" si="332"/>
        <v>54</v>
      </c>
      <c r="DN56" s="1392">
        <f t="shared" ca="1" si="332"/>
        <v>33</v>
      </c>
      <c r="DO56" s="1392">
        <f t="shared" ca="1" si="332"/>
        <v>13</v>
      </c>
      <c r="DP56" s="1392">
        <f t="shared" ca="1" si="332"/>
        <v>29</v>
      </c>
      <c r="DQ56" s="1392">
        <f t="shared" ca="1" si="332"/>
        <v>79</v>
      </c>
      <c r="DR56" s="1392">
        <f t="shared" ca="1" si="332"/>
        <v>47</v>
      </c>
      <c r="DS56" s="1392">
        <f t="shared" ca="1" si="332"/>
        <v>73</v>
      </c>
      <c r="DT56" s="1392">
        <f t="shared" ca="1" si="332"/>
        <v>50</v>
      </c>
      <c r="DU56" s="1392">
        <f t="shared" ca="1" si="333"/>
        <v>57</v>
      </c>
      <c r="DV56" s="1392">
        <f t="shared" ca="1" si="333"/>
        <v>36</v>
      </c>
      <c r="DW56" s="1392">
        <f t="shared" ca="1" si="333"/>
        <v>19</v>
      </c>
      <c r="DX56" s="1392">
        <f t="shared" ca="1" si="333"/>
        <v>51</v>
      </c>
      <c r="DY56" s="1392">
        <f t="shared" ca="1" si="333"/>
        <v>19</v>
      </c>
      <c r="DZ56" s="1392">
        <f t="shared" ca="1" si="333"/>
        <v>35</v>
      </c>
      <c r="EA56" s="1392">
        <f t="shared" ca="1" si="333"/>
        <v>63</v>
      </c>
      <c r="EB56" s="1392">
        <f t="shared" ca="1" si="333"/>
        <v>41</v>
      </c>
      <c r="EC56" s="1392">
        <f t="shared" ca="1" si="333"/>
        <v>46</v>
      </c>
      <c r="ED56" s="1392">
        <f t="shared" ca="1" si="333"/>
        <v>42</v>
      </c>
      <c r="EE56" s="1392">
        <f t="shared" ca="1" si="334"/>
        <v>54</v>
      </c>
      <c r="EF56" s="1392">
        <f t="shared" ca="1" si="334"/>
        <v>62</v>
      </c>
      <c r="EG56" s="1392">
        <f t="shared" ca="1" si="334"/>
        <v>55</v>
      </c>
      <c r="EH56" s="1392">
        <f t="shared" ca="1" si="334"/>
        <v>9</v>
      </c>
      <c r="EI56" s="1392">
        <f t="shared" ca="1" si="334"/>
        <v>34</v>
      </c>
      <c r="EJ56" s="1392">
        <f t="shared" ca="1" si="334"/>
        <v>73</v>
      </c>
      <c r="EK56" s="1392">
        <f t="shared" ca="1" si="334"/>
        <v>59</v>
      </c>
      <c r="EL56" s="1392">
        <f t="shared" ca="1" si="334"/>
        <v>26</v>
      </c>
      <c r="EM56" s="1392">
        <f t="shared" ca="1" si="334"/>
        <v>35</v>
      </c>
      <c r="EN56" s="1392">
        <f t="shared" ca="1" si="334"/>
        <v>26</v>
      </c>
      <c r="EO56" s="1392">
        <f t="shared" ca="1" si="334"/>
        <v>21</v>
      </c>
      <c r="EP56" s="1392">
        <f t="shared" ca="1" si="334"/>
        <v>20</v>
      </c>
      <c r="EQ56" s="1392">
        <f t="shared" ca="1" si="334"/>
        <v>33</v>
      </c>
      <c r="ER56" s="1393">
        <f t="shared" ca="1" si="334"/>
        <v>29</v>
      </c>
      <c r="ES56" s="377"/>
      <c r="ET56" s="316">
        <f t="shared" ca="1" si="335"/>
        <v>17154.228809290984</v>
      </c>
      <c r="EU56" s="1392">
        <f t="shared" ca="1" si="20"/>
        <v>3.4903429574618414</v>
      </c>
      <c r="EV56" s="1392">
        <f t="shared" ca="1" si="21"/>
        <v>46630.028453524326</v>
      </c>
      <c r="EW56" s="1392">
        <f t="shared" ca="1" si="22"/>
        <v>665.14163304436181</v>
      </c>
      <c r="EX56" s="1392">
        <f t="shared" ca="1" si="23"/>
        <v>10404.565716560723</v>
      </c>
      <c r="EY56" s="1392">
        <f t="shared" ca="1" si="24"/>
        <v>22026.465794806718</v>
      </c>
      <c r="EZ56" s="1392">
        <f t="shared" ca="1" si="25"/>
        <v>8886110.5205078721</v>
      </c>
      <c r="FA56" s="1392">
        <f t="shared" ca="1" si="26"/>
        <v>90.017131300521811</v>
      </c>
      <c r="FB56" s="1392">
        <f t="shared" ca="1" si="27"/>
        <v>729416.36984770128</v>
      </c>
      <c r="FC56" s="1392">
        <f t="shared" ca="1" si="28"/>
        <v>10404.565716560723</v>
      </c>
      <c r="FD56" s="1392">
        <f t="shared" ca="1" si="29"/>
        <v>403.42879349273511</v>
      </c>
      <c r="FE56" s="1392">
        <f t="shared" ca="1" si="30"/>
        <v>1982759.2635375687</v>
      </c>
      <c r="FF56" s="1392">
        <f t="shared" ca="1" si="31"/>
        <v>8103.0839275753842</v>
      </c>
      <c r="FG56" s="1392">
        <f t="shared" ca="1" si="32"/>
        <v>208981.28886971297</v>
      </c>
      <c r="FH56" s="1392">
        <f t="shared" ca="1" si="33"/>
        <v>729416.36984770128</v>
      </c>
      <c r="FI56" s="1392">
        <f t="shared" ca="1" si="34"/>
        <v>76879.919764677761</v>
      </c>
      <c r="FJ56" s="1392">
        <f t="shared" ca="1" si="35"/>
        <v>11409991.763828445</v>
      </c>
      <c r="FK56" s="1392">
        <f t="shared" ca="1" si="36"/>
        <v>4.4816890703380645</v>
      </c>
      <c r="FL56" s="1392">
        <f t="shared" ca="1" si="37"/>
        <v>294267566.04150879</v>
      </c>
      <c r="FM56" s="1392">
        <f t="shared" ca="1" si="38"/>
        <v>36315.502674246636</v>
      </c>
      <c r="FN56" s="1392">
        <f t="shared" ca="1" si="39"/>
        <v>229175810.86564341</v>
      </c>
      <c r="FO56" s="1392">
        <f t="shared" ca="1" si="40"/>
        <v>229175810.86564341</v>
      </c>
      <c r="FP56" s="1392">
        <f t="shared" ca="1" si="41"/>
        <v>6310.6881080890244</v>
      </c>
      <c r="FQ56" s="1392">
        <f t="shared" ca="1" si="42"/>
        <v>108254987.75023076</v>
      </c>
      <c r="FR56" s="1392">
        <f t="shared" ca="1" si="43"/>
        <v>31015573.274482232</v>
      </c>
      <c r="FS56" s="1392">
        <f t="shared" ca="1" si="44"/>
        <v>20.085536923187668</v>
      </c>
      <c r="FT56" s="1392">
        <f t="shared" ca="1" si="45"/>
        <v>25.790339917193062</v>
      </c>
      <c r="FU56" s="1392">
        <f t="shared" ca="1" si="46"/>
        <v>485165195.40979028</v>
      </c>
      <c r="FV56" s="1392">
        <f t="shared" ca="1" si="47"/>
        <v>76879.919764677761</v>
      </c>
      <c r="FW56" s="1392">
        <f t="shared" ca="1" si="48"/>
        <v>4914.7688402991344</v>
      </c>
      <c r="FX56" s="1392">
        <f t="shared" ca="1" si="49"/>
        <v>28282.541920334977</v>
      </c>
      <c r="FY56" s="1392">
        <f t="shared" ca="1" si="50"/>
        <v>665.14163304436181</v>
      </c>
      <c r="FZ56" s="1392">
        <f t="shared" ca="1" si="51"/>
        <v>22026.465794806718</v>
      </c>
      <c r="GA56" s="1392">
        <f t="shared" ca="1" si="52"/>
        <v>6310.6881080890244</v>
      </c>
      <c r="GB56" s="1392">
        <f t="shared" ca="1" si="53"/>
        <v>33.115451958692312</v>
      </c>
      <c r="GC56" s="1392">
        <f t="shared" ca="1" si="54"/>
        <v>98715.771010760494</v>
      </c>
      <c r="GD56" s="1392">
        <f t="shared" ca="1" si="55"/>
        <v>5389698.476283012</v>
      </c>
      <c r="GE56" s="1392">
        <f t="shared" ca="1" si="56"/>
        <v>59874.141715197817</v>
      </c>
      <c r="GF56" s="1392">
        <f t="shared" ca="1" si="57"/>
        <v>178482300.96318725</v>
      </c>
      <c r="GG56" s="1392">
        <f t="shared" ca="1" si="58"/>
        <v>1544174.4670851405</v>
      </c>
      <c r="GH56" s="1392">
        <f t="shared" ca="1" si="59"/>
        <v>31015573.274482232</v>
      </c>
      <c r="GI56" s="1392">
        <f t="shared" ca="1" si="60"/>
        <v>33.115451958692312</v>
      </c>
      <c r="GJ56" s="1392">
        <f t="shared" ca="1" si="61"/>
        <v>24154952.753575299</v>
      </c>
      <c r="GK56" s="1392">
        <f t="shared" ca="1" si="62"/>
        <v>98715.771010760494</v>
      </c>
      <c r="GL56" s="1392">
        <f t="shared" ca="1" si="63"/>
        <v>6920509.8318305807</v>
      </c>
      <c r="GM56" s="1392">
        <f t="shared" ca="1" si="64"/>
        <v>31015573.274482232</v>
      </c>
      <c r="GN56" s="1392">
        <f t="shared" ca="1" si="65"/>
        <v>46630.028453524326</v>
      </c>
      <c r="GO56" s="1392">
        <f t="shared" ca="1" si="66"/>
        <v>6310.6881080890244</v>
      </c>
      <c r="GP56" s="1392">
        <f t="shared" ca="1" si="67"/>
        <v>4197501.3938479675</v>
      </c>
      <c r="GQ56" s="1392">
        <f t="shared" ca="1" si="68"/>
        <v>76879.919764677761</v>
      </c>
      <c r="GR56" s="1392">
        <f t="shared" ca="1" si="69"/>
        <v>15.642631884188171</v>
      </c>
      <c r="GS56" s="1392">
        <f t="shared" ca="1" si="70"/>
        <v>7.3890560989306504</v>
      </c>
      <c r="GT56" s="1392">
        <f t="shared" ca="1" si="71"/>
        <v>54.598150033144236</v>
      </c>
      <c r="GU56" s="1392">
        <f t="shared" ca="1" si="72"/>
        <v>148.4131591025766</v>
      </c>
      <c r="GV56" s="1392">
        <f t="shared" ca="1" si="73"/>
        <v>33.115451958692312</v>
      </c>
      <c r="GW56" s="1392">
        <f t="shared" ca="1" si="74"/>
        <v>5.7546026760057307</v>
      </c>
      <c r="GX56" s="1392">
        <f t="shared" ca="1" si="75"/>
        <v>46630.028453524326</v>
      </c>
      <c r="GY56" s="1392">
        <f t="shared" ca="1" si="76"/>
        <v>1808.0424144560632</v>
      </c>
      <c r="GZ56" s="1392">
        <f t="shared" ca="1" si="77"/>
        <v>1096.6331584284585</v>
      </c>
      <c r="HA56" s="1392">
        <f t="shared" ca="1" si="78"/>
        <v>936589.15823255444</v>
      </c>
      <c r="HB56" s="1392">
        <f t="shared" ca="1" si="79"/>
        <v>1808.0424144560632</v>
      </c>
      <c r="HC56" s="1392">
        <f t="shared" ca="1" si="80"/>
        <v>190.56626845862999</v>
      </c>
      <c r="HD56" s="1392">
        <f t="shared" ca="1" si="81"/>
        <v>46630.028453524326</v>
      </c>
      <c r="HE56" s="1392">
        <f t="shared" ca="1" si="82"/>
        <v>442413.39200892049</v>
      </c>
      <c r="HF56" s="1392">
        <f t="shared" ca="1" si="83"/>
        <v>126753.55900574342</v>
      </c>
      <c r="HG56" s="1392">
        <f t="shared" ca="1" si="84"/>
        <v>12.182493960703473</v>
      </c>
      <c r="HH56" s="1392">
        <f t="shared" ca="1" si="85"/>
        <v>46630.028453524326</v>
      </c>
      <c r="HI56" s="1392">
        <f t="shared" ca="1" si="86"/>
        <v>36315.502674246636</v>
      </c>
      <c r="HJ56" s="1392">
        <f t="shared" ca="1" si="87"/>
        <v>936589.15823255444</v>
      </c>
      <c r="HK56" s="1392">
        <f t="shared" ca="1" si="88"/>
        <v>17154.228809290984</v>
      </c>
      <c r="HL56" s="1392">
        <f t="shared" ca="1" si="89"/>
        <v>3269017.3724721107</v>
      </c>
      <c r="HM56" s="1392">
        <f t="shared" ca="1" si="90"/>
        <v>1202604.2841647768</v>
      </c>
      <c r="HN56" s="1392">
        <f t="shared" ca="1" si="91"/>
        <v>4.4816890703380645</v>
      </c>
      <c r="HO56" s="1392">
        <f t="shared" ca="1" si="92"/>
        <v>229175810.86564341</v>
      </c>
      <c r="HP56" s="1392">
        <f t="shared" ca="1" si="93"/>
        <v>126753.55900574342</v>
      </c>
      <c r="HQ56" s="1392">
        <f t="shared" ca="1" si="94"/>
        <v>22026.465794806718</v>
      </c>
      <c r="HR56" s="1392">
        <f t="shared" ca="1" si="95"/>
        <v>208981.28886971297</v>
      </c>
      <c r="HS56" s="1392">
        <f t="shared" ca="1" si="96"/>
        <v>8886110.5205078721</v>
      </c>
      <c r="HT56" s="1392">
        <f t="shared" ca="1" si="97"/>
        <v>59874.141715197817</v>
      </c>
      <c r="HU56" s="1392">
        <f t="shared" ca="1" si="98"/>
        <v>11409991.763828445</v>
      </c>
      <c r="HV56" s="1392">
        <f t="shared" ca="1" si="99"/>
        <v>244.69193226422038</v>
      </c>
      <c r="HW56" s="1392">
        <f t="shared" ca="1" si="100"/>
        <v>244.69193226422038</v>
      </c>
      <c r="HX56" s="1392">
        <f t="shared" ca="1" si="101"/>
        <v>1982759.2635375687</v>
      </c>
      <c r="HY56" s="1392">
        <f t="shared" ca="1" si="102"/>
        <v>33.115451958692312</v>
      </c>
      <c r="HZ56" s="1392">
        <f t="shared" ca="1" si="103"/>
        <v>4.4816890703380645</v>
      </c>
      <c r="IA56" s="1392">
        <f t="shared" ca="1" si="104"/>
        <v>4914.7688402991344</v>
      </c>
      <c r="IB56" s="1392">
        <f t="shared" ca="1" si="105"/>
        <v>178482300.96318725</v>
      </c>
      <c r="IC56" s="1392">
        <f t="shared" ca="1" si="106"/>
        <v>208981.28886971297</v>
      </c>
      <c r="ID56" s="1392">
        <f t="shared" ca="1" si="107"/>
        <v>90.017131300521811</v>
      </c>
      <c r="IE56" s="1392">
        <f t="shared" ca="1" si="108"/>
        <v>8886110.5205078721</v>
      </c>
      <c r="IF56" s="1392">
        <f t="shared" ca="1" si="109"/>
        <v>126753.55900574342</v>
      </c>
      <c r="IG56" s="1392">
        <f t="shared" ca="1" si="110"/>
        <v>518.01282466834198</v>
      </c>
      <c r="IH56" s="1392">
        <f t="shared" ca="1" si="111"/>
        <v>854.05876252615155</v>
      </c>
      <c r="II56" s="1392">
        <f t="shared" ca="1" si="112"/>
        <v>4197501.3938479675</v>
      </c>
      <c r="IJ56" s="1392">
        <f t="shared" ca="1" si="113"/>
        <v>178482300.96318725</v>
      </c>
      <c r="IK56" s="1392">
        <f t="shared" ca="1" si="114"/>
        <v>51136035.380597278</v>
      </c>
      <c r="IL56" s="1392">
        <f t="shared" ca="1" si="115"/>
        <v>39824784.397576228</v>
      </c>
      <c r="IM56" s="1392">
        <f t="shared" ca="1" si="116"/>
        <v>51136035.380597278</v>
      </c>
      <c r="IN56" s="1392">
        <f t="shared" ca="1" si="117"/>
        <v>936589.15823255444</v>
      </c>
      <c r="IO56" s="1392">
        <f t="shared" ca="1" si="118"/>
        <v>65659969.13733051</v>
      </c>
      <c r="IP56" s="1392">
        <f t="shared" ca="1" si="119"/>
        <v>65659969.13733051</v>
      </c>
      <c r="IQ56" s="1392">
        <f t="shared" ca="1" si="120"/>
        <v>9.4877358363585262</v>
      </c>
      <c r="IR56" s="1392">
        <f t="shared" ca="1" si="121"/>
        <v>403.42879349273511</v>
      </c>
      <c r="IS56" s="1392">
        <f t="shared" ca="1" si="122"/>
        <v>1408.1048482046956</v>
      </c>
      <c r="IT56" s="1392">
        <f t="shared" ca="1" si="123"/>
        <v>4.4816890703380645</v>
      </c>
      <c r="IU56" s="1392">
        <f t="shared" ca="1" si="124"/>
        <v>936589.15823255444</v>
      </c>
      <c r="IV56" s="1392">
        <f t="shared" ca="1" si="125"/>
        <v>18811896.119537231</v>
      </c>
      <c r="IW56" s="1392">
        <f t="shared" ca="1" si="126"/>
        <v>208981.28886971297</v>
      </c>
      <c r="IX56" s="1392">
        <f t="shared" ca="1" si="127"/>
        <v>229175810.86564341</v>
      </c>
      <c r="IY56" s="1392">
        <f t="shared" ca="1" si="128"/>
        <v>84309069.231265053</v>
      </c>
      <c r="IZ56" s="1392">
        <f t="shared" ca="1" si="129"/>
        <v>8103.0839275753842</v>
      </c>
      <c r="JA56" s="1392">
        <f t="shared" ca="1" si="130"/>
        <v>518.01282466834198</v>
      </c>
      <c r="JB56" s="1392">
        <f t="shared" ca="1" si="131"/>
        <v>729416.36984770128</v>
      </c>
      <c r="JC56" s="1392">
        <f t="shared" ca="1" si="132"/>
        <v>3827.6258214399063</v>
      </c>
      <c r="JD56" s="1392">
        <f t="shared" ca="1" si="133"/>
        <v>25.790339917193062</v>
      </c>
      <c r="JE56" s="1392">
        <f t="shared" ca="1" si="134"/>
        <v>1408.1048482046956</v>
      </c>
      <c r="JF56" s="1392">
        <f t="shared" ca="1" si="135"/>
        <v>377847034.10413581</v>
      </c>
      <c r="JG56" s="1392">
        <f t="shared" ca="1" si="136"/>
        <v>126753.55900574342</v>
      </c>
      <c r="JH56" s="1392">
        <f t="shared" ca="1" si="137"/>
        <v>84309069.231265053</v>
      </c>
      <c r="JI56" s="1392">
        <f t="shared" ca="1" si="138"/>
        <v>268337.28652087448</v>
      </c>
      <c r="JJ56" s="1392">
        <f t="shared" ca="1" si="139"/>
        <v>1544174.4670851405</v>
      </c>
      <c r="JK56" s="1392">
        <f t="shared" ca="1" si="140"/>
        <v>8103.0839275753842</v>
      </c>
      <c r="JL56" s="1392">
        <f t="shared" ca="1" si="141"/>
        <v>115.58428452718766</v>
      </c>
      <c r="JM56" s="1392">
        <f t="shared" ca="1" si="142"/>
        <v>344551.8961378237</v>
      </c>
      <c r="JN56" s="1392">
        <f t="shared" ca="1" si="143"/>
        <v>115.58428452718766</v>
      </c>
      <c r="JO56" s="1392">
        <f t="shared" ca="1" si="144"/>
        <v>6310.6881080890244</v>
      </c>
      <c r="JP56" s="1392">
        <f t="shared" ca="1" si="145"/>
        <v>6920509.8318305807</v>
      </c>
      <c r="JQ56" s="1392">
        <f t="shared" ca="1" si="146"/>
        <v>28282.541920334977</v>
      </c>
      <c r="JR56" s="1392">
        <f t="shared" ca="1" si="147"/>
        <v>98715.771010760494</v>
      </c>
      <c r="JS56" s="1392">
        <f t="shared" ca="1" si="148"/>
        <v>36315.502674246636</v>
      </c>
      <c r="JT56" s="1392">
        <f t="shared" ca="1" si="149"/>
        <v>729416.36984770128</v>
      </c>
      <c r="JU56" s="1392">
        <f t="shared" ca="1" si="150"/>
        <v>5389698.476283012</v>
      </c>
      <c r="JV56" s="1392">
        <f t="shared" ca="1" si="151"/>
        <v>936589.15823255444</v>
      </c>
      <c r="JW56" s="1392">
        <f t="shared" ca="1" si="152"/>
        <v>9.4877358363585262</v>
      </c>
      <c r="JX56" s="1392">
        <f t="shared" ca="1" si="153"/>
        <v>4914.7688402991344</v>
      </c>
      <c r="JY56" s="1392">
        <f t="shared" ca="1" si="154"/>
        <v>84309069.231265053</v>
      </c>
      <c r="JZ56" s="1392">
        <f t="shared" ca="1" si="155"/>
        <v>2545913.2895553061</v>
      </c>
      <c r="KA56" s="1392">
        <f t="shared" ca="1" si="156"/>
        <v>665.14163304436181</v>
      </c>
      <c r="KB56" s="1392">
        <f t="shared" ca="1" si="157"/>
        <v>6310.6881080890244</v>
      </c>
      <c r="KC56" s="1392">
        <f t="shared" ca="1" si="158"/>
        <v>665.14163304436181</v>
      </c>
      <c r="KD56" s="1392">
        <f t="shared" ca="1" si="159"/>
        <v>190.56626845862999</v>
      </c>
      <c r="KE56" s="1392">
        <f t="shared" ca="1" si="160"/>
        <v>148.4131591025766</v>
      </c>
      <c r="KF56" s="1392">
        <f t="shared" ca="1" si="161"/>
        <v>3827.6258214399063</v>
      </c>
      <c r="KG56" s="1399">
        <f t="shared" ca="1" si="162"/>
        <v>1408.1048482046956</v>
      </c>
      <c r="KH56" s="1406">
        <f t="shared" ca="1" si="163"/>
        <v>3487867359.1198082</v>
      </c>
      <c r="KI56" s="377"/>
      <c r="KJ56" s="1444">
        <f t="shared" ca="1" si="164"/>
        <v>87.890225257979139</v>
      </c>
      <c r="KK56" s="49">
        <f t="shared" ca="1" si="165"/>
        <v>-0.75456355618848647</v>
      </c>
      <c r="KL56" s="377"/>
      <c r="KM56" s="908">
        <f t="shared" ca="1" si="166"/>
        <v>4.9182572165301586E-6</v>
      </c>
      <c r="KN56" s="1411">
        <f t="shared" ca="1" si="167"/>
        <v>1.0007097742222222E-9</v>
      </c>
      <c r="KO56" s="1411">
        <f t="shared" ca="1" si="168"/>
        <v>1.3369209219381495E-5</v>
      </c>
      <c r="KP56" s="1411">
        <f t="shared" ca="1" si="169"/>
        <v>1.9070152748360699E-7</v>
      </c>
      <c r="KQ56" s="1411">
        <f t="shared" ca="1" si="170"/>
        <v>2.9830737941784574E-6</v>
      </c>
      <c r="KR56" s="1411">
        <f t="shared" ca="1" si="171"/>
        <v>6.3151672718326297E-6</v>
      </c>
      <c r="KS56" s="1411">
        <f t="shared" ca="1" si="172"/>
        <v>2.547720313180245E-3</v>
      </c>
      <c r="KT56" s="1411">
        <f t="shared" ca="1" si="173"/>
        <v>2.5808645235648631E-8</v>
      </c>
      <c r="KU56" s="1411">
        <f t="shared" ca="1" si="174"/>
        <v>2.0912961840147942E-4</v>
      </c>
      <c r="KV56" s="1411">
        <f t="shared" ca="1" si="175"/>
        <v>2.9830737941784574E-6</v>
      </c>
      <c r="KW56" s="1411">
        <f t="shared" ca="1" si="176"/>
        <v>1.1566632327283905E-7</v>
      </c>
      <c r="KX56" s="1411">
        <f t="shared" ca="1" si="177"/>
        <v>5.6847324149331591E-4</v>
      </c>
      <c r="KY56" s="1411">
        <f t="shared" ca="1" si="178"/>
        <v>2.3232202068659695E-6</v>
      </c>
      <c r="KZ56" s="1411">
        <f t="shared" ca="1" si="179"/>
        <v>5.9916638837564941E-5</v>
      </c>
      <c r="LA56" s="1411">
        <f t="shared" ca="1" si="180"/>
        <v>2.0912961840147942E-4</v>
      </c>
      <c r="LB56" s="1411">
        <f t="shared" ca="1" si="181"/>
        <v>2.2042099612434525E-5</v>
      </c>
      <c r="LC56" s="1411">
        <f t="shared" ca="1" si="182"/>
        <v>3.2713376367350879E-3</v>
      </c>
      <c r="LD56" s="1411">
        <f t="shared" ca="1" si="183"/>
        <v>1.2849367848291845E-9</v>
      </c>
      <c r="LE56" s="1411">
        <f t="shared" ca="1" si="184"/>
        <v>8.4368909635304939E-2</v>
      </c>
      <c r="LF56" s="1411">
        <f t="shared" ca="1" si="185"/>
        <v>1.0411950609099754E-5</v>
      </c>
      <c r="LG56" s="1411">
        <f t="shared" ca="1" si="186"/>
        <v>6.5706572890856088E-2</v>
      </c>
      <c r="LH56" s="1411">
        <f t="shared" ca="1" si="187"/>
        <v>6.5706572890856088E-2</v>
      </c>
      <c r="LI56" s="1411">
        <f t="shared" ca="1" si="188"/>
        <v>1.8093257163545285E-6</v>
      </c>
      <c r="LJ56" s="1411">
        <f t="shared" ca="1" si="189"/>
        <v>3.1037587328879901E-2</v>
      </c>
      <c r="LK56" s="1411">
        <f t="shared" ca="1" si="190"/>
        <v>8.8924176526911456E-3</v>
      </c>
      <c r="LL56" s="1411">
        <f t="shared" ca="1" si="191"/>
        <v>5.7586871446442901E-9</v>
      </c>
      <c r="LM56" s="1411">
        <f t="shared" ca="1" si="192"/>
        <v>7.394300660476224E-9</v>
      </c>
      <c r="LN56" s="1411">
        <f t="shared" ca="1" si="193"/>
        <v>0.13910081590150425</v>
      </c>
      <c r="LO56" s="1411">
        <f t="shared" ca="1" si="194"/>
        <v>2.2042099612434525E-5</v>
      </c>
      <c r="LP56" s="1411">
        <f t="shared" ca="1" si="195"/>
        <v>1.4091042847281373E-6</v>
      </c>
      <c r="LQ56" s="1411">
        <f t="shared" ca="1" si="196"/>
        <v>8.1088352876676796E-6</v>
      </c>
      <c r="LR56" s="1411">
        <f t="shared" ca="1" si="197"/>
        <v>1.9070152748360699E-7</v>
      </c>
      <c r="LS56" s="1411">
        <f t="shared" ca="1" si="198"/>
        <v>6.3151672718326297E-6</v>
      </c>
      <c r="LT56" s="1411">
        <f t="shared" ca="1" si="199"/>
        <v>1.8093257163545285E-6</v>
      </c>
      <c r="LU56" s="1411">
        <f t="shared" ca="1" si="200"/>
        <v>9.494469986682425E-9</v>
      </c>
      <c r="LV56" s="1411">
        <f t="shared" ca="1" si="201"/>
        <v>2.8302616139528948E-5</v>
      </c>
      <c r="LW56" s="1411">
        <f t="shared" ca="1" si="202"/>
        <v>1.5452704823164911E-3</v>
      </c>
      <c r="LX56" s="1411">
        <f t="shared" ca="1" si="203"/>
        <v>1.7166404438701921E-5</v>
      </c>
      <c r="LY56" s="1411">
        <f t="shared" ca="1" si="204"/>
        <v>5.1172330420337059E-2</v>
      </c>
      <c r="LZ56" s="1411">
        <f t="shared" ca="1" si="205"/>
        <v>4.4272740563013426E-4</v>
      </c>
      <c r="MA56" s="1411">
        <f t="shared" ca="1" si="206"/>
        <v>8.8924176526911456E-3</v>
      </c>
      <c r="MB56" s="1411">
        <f t="shared" ca="1" si="207"/>
        <v>9.494469986682425E-9</v>
      </c>
      <c r="MC56" s="1411">
        <f t="shared" ca="1" si="208"/>
        <v>6.9254218313138487E-3</v>
      </c>
      <c r="MD56" s="1411">
        <f t="shared" ca="1" si="209"/>
        <v>2.8302616139528948E-5</v>
      </c>
      <c r="ME56" s="1411">
        <f t="shared" ca="1" si="210"/>
        <v>1.9841665749516998E-3</v>
      </c>
      <c r="MF56" s="1411">
        <f t="shared" ca="1" si="211"/>
        <v>8.8924176526911456E-3</v>
      </c>
      <c r="MG56" s="1411">
        <f t="shared" ca="1" si="212"/>
        <v>1.3369209219381495E-5</v>
      </c>
      <c r="MH56" s="1411">
        <f t="shared" ca="1" si="213"/>
        <v>1.8093257163545285E-6</v>
      </c>
      <c r="MI56" s="1411">
        <f t="shared" ca="1" si="214"/>
        <v>1.2034578616852108E-3</v>
      </c>
      <c r="MJ56" s="1411">
        <f t="shared" ca="1" si="215"/>
        <v>2.2042099612434525E-5</v>
      </c>
      <c r="MK56" s="1411">
        <f t="shared" ca="1" si="216"/>
        <v>4.4848700577122053E-9</v>
      </c>
      <c r="ML56" s="1411">
        <f t="shared" ca="1" si="217"/>
        <v>2.1185026086529102E-9</v>
      </c>
      <c r="MM56" s="1411">
        <f t="shared" ca="1" si="218"/>
        <v>1.5653734621067278E-8</v>
      </c>
      <c r="MN56" s="1411">
        <f t="shared" ca="1" si="219"/>
        <v>4.2551262367967417E-8</v>
      </c>
      <c r="MO56" s="1411">
        <f t="shared" ca="1" si="220"/>
        <v>9.494469986682425E-9</v>
      </c>
      <c r="MP56" s="1411">
        <f t="shared" ca="1" si="221"/>
        <v>1.6498914905577005E-9</v>
      </c>
      <c r="MQ56" s="1411">
        <f t="shared" ca="1" si="222"/>
        <v>1.3369209219381495E-5</v>
      </c>
      <c r="MR56" s="1411">
        <f t="shared" ca="1" si="223"/>
        <v>5.1838049681807211E-7</v>
      </c>
      <c r="MS56" s="1411">
        <f t="shared" ca="1" si="224"/>
        <v>3.1441366471722793E-7</v>
      </c>
      <c r="MT56" s="1411">
        <f t="shared" ca="1" si="225"/>
        <v>2.6852774540970798E-4</v>
      </c>
      <c r="MU56" s="1411">
        <f t="shared" ca="1" si="226"/>
        <v>5.1838049681807211E-7</v>
      </c>
      <c r="MV56" s="1411">
        <f t="shared" ca="1" si="227"/>
        <v>5.463690239261878E-8</v>
      </c>
      <c r="MW56" s="1411">
        <f t="shared" ca="1" si="228"/>
        <v>1.3369209219381495E-5</v>
      </c>
      <c r="MX56" s="1411">
        <f t="shared" ca="1" si="229"/>
        <v>1.2684352541450061E-4</v>
      </c>
      <c r="MY56" s="1411">
        <f t="shared" ca="1" si="230"/>
        <v>3.6341278481911857E-5</v>
      </c>
      <c r="MZ56" s="1411">
        <f t="shared" ca="1" si="231"/>
        <v>3.4928203129197621E-9</v>
      </c>
      <c r="NA56" s="1411">
        <f t="shared" ca="1" si="232"/>
        <v>1.3369209219381495E-5</v>
      </c>
      <c r="NB56" s="1411">
        <f t="shared" ca="1" si="233"/>
        <v>1.0411950609099754E-5</v>
      </c>
      <c r="NC56" s="1411">
        <f t="shared" ca="1" si="234"/>
        <v>2.6852774540970798E-4</v>
      </c>
      <c r="ND56" s="1411">
        <f t="shared" ca="1" si="235"/>
        <v>4.9182572165301586E-6</v>
      </c>
      <c r="NE56" s="1411">
        <f t="shared" ca="1" si="236"/>
        <v>9.3725392507388065E-4</v>
      </c>
      <c r="NF56" s="1411">
        <f t="shared" ca="1" si="237"/>
        <v>3.4479645019192006E-4</v>
      </c>
      <c r="NG56" s="1411">
        <f t="shared" ca="1" si="238"/>
        <v>1.2849367848291845E-9</v>
      </c>
      <c r="NH56" s="1411">
        <f t="shared" ca="1" si="239"/>
        <v>6.5706572890856088E-2</v>
      </c>
      <c r="NI56" s="1411">
        <f t="shared" ca="1" si="240"/>
        <v>3.6341278481911857E-5</v>
      </c>
      <c r="NJ56" s="1411">
        <f t="shared" ca="1" si="241"/>
        <v>6.3151672718326297E-6</v>
      </c>
      <c r="NK56" s="1411">
        <f t="shared" ca="1" si="242"/>
        <v>5.9916638837564941E-5</v>
      </c>
      <c r="NL56" s="1411">
        <f t="shared" ca="1" si="243"/>
        <v>2.547720313180245E-3</v>
      </c>
      <c r="NM56" s="1411">
        <f t="shared" ca="1" si="244"/>
        <v>1.7166404438701921E-5</v>
      </c>
      <c r="NN56" s="1411">
        <f t="shared" ca="1" si="245"/>
        <v>3.2713376367350879E-3</v>
      </c>
      <c r="NO56" s="1411">
        <f t="shared" ca="1" si="246"/>
        <v>7.0155171361209782E-8</v>
      </c>
      <c r="NP56" s="1411">
        <f t="shared" ca="1" si="247"/>
        <v>7.0155171361209782E-8</v>
      </c>
      <c r="NQ56" s="1411">
        <f t="shared" ca="1" si="248"/>
        <v>5.6847324149331591E-4</v>
      </c>
      <c r="NR56" s="1411">
        <f t="shared" ca="1" si="249"/>
        <v>9.494469986682425E-9</v>
      </c>
      <c r="NS56" s="1411">
        <f t="shared" ca="1" si="250"/>
        <v>1.2849367848291845E-9</v>
      </c>
      <c r="NT56" s="1411">
        <f t="shared" ca="1" si="251"/>
        <v>1.4091042847281373E-6</v>
      </c>
      <c r="NU56" s="1411">
        <f t="shared" ca="1" si="252"/>
        <v>5.1172330420337059E-2</v>
      </c>
      <c r="NV56" s="1411">
        <f t="shared" ca="1" si="253"/>
        <v>5.9916638837564941E-5</v>
      </c>
      <c r="NW56" s="1411">
        <f t="shared" ca="1" si="254"/>
        <v>2.5808645235648631E-8</v>
      </c>
      <c r="NX56" s="1411">
        <f t="shared" ca="1" si="255"/>
        <v>2.547720313180245E-3</v>
      </c>
      <c r="NY56" s="1411">
        <f t="shared" ca="1" si="256"/>
        <v>3.6341278481911857E-5</v>
      </c>
      <c r="NZ56" s="1411">
        <f t="shared" ca="1" si="257"/>
        <v>1.4851849893714615E-7</v>
      </c>
      <c r="OA56" s="1411">
        <f t="shared" ca="1" si="258"/>
        <v>2.4486560829012726E-7</v>
      </c>
      <c r="OB56" s="1411">
        <f t="shared" ca="1" si="259"/>
        <v>1.2034578616852108E-3</v>
      </c>
      <c r="OC56" s="1411">
        <f t="shared" ca="1" si="260"/>
        <v>5.1172330420337059E-2</v>
      </c>
      <c r="OD56" s="1411">
        <f t="shared" ca="1" si="261"/>
        <v>1.4661118131941197E-2</v>
      </c>
      <c r="OE56" s="1411">
        <f t="shared" ca="1" si="262"/>
        <v>1.1418090281858178E-2</v>
      </c>
      <c r="OF56" s="1411">
        <f t="shared" ca="1" si="263"/>
        <v>1.4661118131941197E-2</v>
      </c>
      <c r="OG56" s="1411">
        <f t="shared" ca="1" si="264"/>
        <v>2.6852774540970798E-4</v>
      </c>
      <c r="OH56" s="1411">
        <f t="shared" ca="1" si="265"/>
        <v>1.8825248318473996E-2</v>
      </c>
      <c r="OI56" s="1411">
        <f t="shared" ca="1" si="266"/>
        <v>1.8825248318473996E-2</v>
      </c>
      <c r="OJ56" s="1411">
        <f t="shared" ca="1" si="267"/>
        <v>2.7202111948296203E-9</v>
      </c>
      <c r="OK56" s="1411">
        <f t="shared" ca="1" si="268"/>
        <v>1.1566632327283905E-7</v>
      </c>
      <c r="OL56" s="1411">
        <f t="shared" ca="1" si="269"/>
        <v>4.0371513685085847E-7</v>
      </c>
      <c r="OM56" s="1411">
        <f t="shared" ca="1" si="270"/>
        <v>1.2849367848291845E-9</v>
      </c>
      <c r="ON56" s="1411">
        <f t="shared" ca="1" si="271"/>
        <v>2.6852774540970798E-4</v>
      </c>
      <c r="OO56" s="1411">
        <f t="shared" ca="1" si="272"/>
        <v>5.3935239453270284E-3</v>
      </c>
      <c r="OP56" s="1411">
        <f t="shared" ca="1" si="273"/>
        <v>5.9916638837564941E-5</v>
      </c>
      <c r="OQ56" s="1411">
        <f t="shared" ca="1" si="274"/>
        <v>6.5706572890856088E-2</v>
      </c>
      <c r="OR56" s="1411">
        <f t="shared" ca="1" si="275"/>
        <v>2.4172097316378777E-2</v>
      </c>
      <c r="OS56" s="1411">
        <f t="shared" ca="1" si="276"/>
        <v>2.3232202068659695E-6</v>
      </c>
      <c r="OT56" s="1411">
        <f t="shared" ca="1" si="277"/>
        <v>1.4851849893714615E-7</v>
      </c>
      <c r="OU56" s="1411">
        <f t="shared" ca="1" si="278"/>
        <v>2.0912961840147942E-4</v>
      </c>
      <c r="OV56" s="1411">
        <f t="shared" ca="1" si="279"/>
        <v>1.0974115203755451E-6</v>
      </c>
      <c r="OW56" s="1411">
        <f t="shared" ca="1" si="280"/>
        <v>7.394300660476224E-9</v>
      </c>
      <c r="OX56" s="1411">
        <f t="shared" ca="1" si="281"/>
        <v>4.0371513685085847E-7</v>
      </c>
      <c r="OY56" s="1411">
        <f t="shared" ca="1" si="282"/>
        <v>0.10833182434996283</v>
      </c>
      <c r="OZ56" s="1411">
        <f t="shared" ca="1" si="283"/>
        <v>3.6341278481911857E-5</v>
      </c>
      <c r="PA56" s="1411">
        <f t="shared" ca="1" si="284"/>
        <v>2.4172097316378777E-2</v>
      </c>
      <c r="PB56" s="1411">
        <f t="shared" ca="1" si="285"/>
        <v>7.6934487149933246E-5</v>
      </c>
      <c r="PC56" s="1411">
        <f t="shared" ca="1" si="286"/>
        <v>4.4272740563013426E-4</v>
      </c>
      <c r="PD56" s="1411">
        <f t="shared" ca="1" si="287"/>
        <v>2.3232202068659695E-6</v>
      </c>
      <c r="PE56" s="1411">
        <f t="shared" ca="1" si="288"/>
        <v>3.3138956452849829E-8</v>
      </c>
      <c r="PF56" s="1411">
        <f t="shared" ca="1" si="289"/>
        <v>9.8785836920350714E-5</v>
      </c>
      <c r="PG56" s="1411">
        <f t="shared" ca="1" si="290"/>
        <v>3.3138956452849829E-8</v>
      </c>
      <c r="PH56" s="1411">
        <f t="shared" ca="1" si="291"/>
        <v>1.8093257163545285E-6</v>
      </c>
      <c r="PI56" s="1411">
        <f t="shared" ca="1" si="292"/>
        <v>1.9841665749516998E-3</v>
      </c>
      <c r="PJ56" s="1411">
        <f t="shared" ca="1" si="293"/>
        <v>8.1088352876676796E-6</v>
      </c>
      <c r="PK56" s="1411">
        <f t="shared" ca="1" si="294"/>
        <v>2.8302616139528948E-5</v>
      </c>
      <c r="PL56" s="1411">
        <f t="shared" ca="1" si="295"/>
        <v>1.0411950609099754E-5</v>
      </c>
      <c r="PM56" s="1411">
        <f t="shared" ca="1" si="296"/>
        <v>2.0912961840147942E-4</v>
      </c>
      <c r="PN56" s="1411">
        <f t="shared" ca="1" si="297"/>
        <v>1.5452704823164911E-3</v>
      </c>
      <c r="PO56" s="1411">
        <f t="shared" ca="1" si="298"/>
        <v>2.6852774540970798E-4</v>
      </c>
      <c r="PP56" s="1411">
        <f t="shared" ca="1" si="299"/>
        <v>2.7202111948296203E-9</v>
      </c>
      <c r="PQ56" s="1411">
        <f t="shared" ca="1" si="300"/>
        <v>1.4091042847281373E-6</v>
      </c>
      <c r="PR56" s="1411">
        <f t="shared" ca="1" si="301"/>
        <v>2.4172097316378777E-2</v>
      </c>
      <c r="PS56" s="1411">
        <f t="shared" ca="1" si="302"/>
        <v>7.2993409078428602E-4</v>
      </c>
      <c r="PT56" s="1411">
        <f t="shared" ca="1" si="303"/>
        <v>1.9070152748360699E-7</v>
      </c>
      <c r="PU56" s="1411">
        <f t="shared" ca="1" si="304"/>
        <v>1.8093257163545285E-6</v>
      </c>
      <c r="PV56" s="1411">
        <f t="shared" ca="1" si="305"/>
        <v>1.9070152748360699E-7</v>
      </c>
      <c r="PW56" s="1411">
        <f t="shared" ca="1" si="306"/>
        <v>5.463690239261878E-8</v>
      </c>
      <c r="PX56" s="1411">
        <f t="shared" ca="1" si="307"/>
        <v>4.2551262367967417E-8</v>
      </c>
      <c r="PY56" s="1411">
        <f t="shared" ca="1" si="308"/>
        <v>1.0974115203755451E-6</v>
      </c>
      <c r="PZ56" s="1412">
        <f t="shared" ca="1" si="309"/>
        <v>4.0371513685085847E-7</v>
      </c>
      <c r="QB56" s="33" t="s">
        <v>1072</v>
      </c>
      <c r="QC56" s="1432">
        <f t="shared" ca="1" si="336"/>
        <v>0.48172968277393841</v>
      </c>
      <c r="QD56" s="744">
        <f t="shared" ca="1" si="337"/>
        <v>0.1963337530316937</v>
      </c>
      <c r="QE56" s="1068">
        <f t="shared" ca="1" si="338"/>
        <v>0.3219365641943675</v>
      </c>
      <c r="QF56" s="744">
        <f t="shared" ca="1" si="339"/>
        <v>0.1649005945817679</v>
      </c>
      <c r="QG56" s="744">
        <f t="shared" ca="1" si="340"/>
        <v>0.60675501736350979</v>
      </c>
      <c r="QH56" s="1068">
        <f t="shared" ca="1" si="341"/>
        <v>0.22834438805472204</v>
      </c>
      <c r="QI56" s="744">
        <f t="shared" ca="1" si="342"/>
        <v>0.58359787853244505</v>
      </c>
      <c r="QJ56" s="1068">
        <f t="shared" ca="1" si="343"/>
        <v>0.41640212146755456</v>
      </c>
      <c r="QK56" s="744">
        <f t="shared" ca="1" si="344"/>
        <v>0.37697082933320675</v>
      </c>
      <c r="QL56" s="1068">
        <f t="shared" ca="1" si="345"/>
        <v>0.62302917066679286</v>
      </c>
      <c r="QM56" s="744">
        <f t="shared" ca="1" si="346"/>
        <v>0.48395993379905977</v>
      </c>
      <c r="QN56" s="1068">
        <f t="shared" ca="1" si="347"/>
        <v>0.51604006620093967</v>
      </c>
      <c r="QO56" s="744">
        <f t="shared" ca="1" si="348"/>
        <v>0.57934467606715945</v>
      </c>
      <c r="QP56" s="1068">
        <f t="shared" ca="1" si="349"/>
        <v>0.42065532393284</v>
      </c>
      <c r="QR56" s="1432">
        <f t="shared" ca="1" si="350"/>
        <v>3.6496367086352533E-3</v>
      </c>
      <c r="QS56" s="744">
        <f t="shared" ca="1" si="351"/>
        <v>0.39812820039178987</v>
      </c>
      <c r="QT56" s="744">
        <f t="shared" ca="1" si="352"/>
        <v>7.9951845673513183E-2</v>
      </c>
      <c r="QU56" s="743">
        <f t="shared" ca="1" si="353"/>
        <v>1.6490914148524953E-3</v>
      </c>
      <c r="QV56" s="744">
        <f t="shared" ca="1" si="354"/>
        <v>7.3260993923760967E-2</v>
      </c>
      <c r="QW56" s="744">
        <f t="shared" ca="1" si="355"/>
        <v>0.12142366769308024</v>
      </c>
      <c r="QX56" s="743">
        <f t="shared" ca="1" si="356"/>
        <v>0.15960186645828014</v>
      </c>
      <c r="QY56" s="744">
        <f t="shared" ca="1" si="357"/>
        <v>0.13536582304795883</v>
      </c>
      <c r="QZ56" s="745">
        <f t="shared" ca="1" si="358"/>
        <v>2.69688746881286E-2</v>
      </c>
      <c r="RC56" s="744">
        <f t="shared" ca="1" si="359"/>
        <v>1.0741131770705915E-3</v>
      </c>
      <c r="RD56" s="744">
        <f t="shared" ca="1" si="360"/>
        <v>0.14802499744789552</v>
      </c>
      <c r="RE56" s="744">
        <f t="shared" ca="1" si="361"/>
        <v>2.6737914357193093E-2</v>
      </c>
      <c r="RF56" s="744">
        <f t="shared" ca="1" si="362"/>
        <v>4.2351550082371758E-4</v>
      </c>
      <c r="RG56" s="744">
        <f t="shared" ca="1" si="363"/>
        <v>7.1645371614738218E-2</v>
      </c>
      <c r="RH56" s="744">
        <f t="shared" ca="1" si="364"/>
        <v>6.9621387198378085E-2</v>
      </c>
      <c r="RI56" s="744">
        <f t="shared" ca="1" si="365"/>
        <v>9.5603111560451759E-2</v>
      </c>
      <c r="RJ56" s="744">
        <f t="shared" ca="1" si="366"/>
        <v>2.5379874766259789E-3</v>
      </c>
      <c r="RK56" s="744">
        <f t="shared" ca="1" si="367"/>
        <v>7.3372313437759481E-4</v>
      </c>
      <c r="RL56" s="1251"/>
      <c r="RM56" s="744">
        <f t="shared" ca="1" si="368"/>
        <v>2.8504559399498367E-3</v>
      </c>
      <c r="RN56" s="744">
        <f t="shared" ca="1" si="369"/>
        <v>0.16248429317702076</v>
      </c>
      <c r="RO56" s="744">
        <f t="shared" ca="1" si="370"/>
        <v>6.4069257475300956E-2</v>
      </c>
      <c r="RP56" s="744">
        <f t="shared" ca="1" si="371"/>
        <v>1.4085510139155908E-4</v>
      </c>
      <c r="RQ56" s="744">
        <f t="shared" ca="1" si="372"/>
        <v>7.4516373710836383E-3</v>
      </c>
      <c r="RR56" s="744">
        <f t="shared" ca="1" si="373"/>
        <v>0.1182708087279679</v>
      </c>
      <c r="RS56" s="744">
        <f t="shared" ca="1" si="374"/>
        <v>0.10870691236608598</v>
      </c>
      <c r="RT56" s="744">
        <f t="shared" ca="1" si="375"/>
        <v>0.13461131530688564</v>
      </c>
      <c r="RU56" s="744">
        <f t="shared" ca="1" si="376"/>
        <v>2.4443635201106394E-2</v>
      </c>
      <c r="RV56" s="744"/>
      <c r="RW56" s="744">
        <f t="shared" ca="1" si="377"/>
        <v>3.3610666584028485E-3</v>
      </c>
      <c r="RX56" s="744">
        <f t="shared" ca="1" si="378"/>
        <v>0.25452784107313031</v>
      </c>
      <c r="RY56" s="744">
        <f t="shared" ca="1" si="379"/>
        <v>5.8612272918965834E-2</v>
      </c>
      <c r="RZ56" s="744">
        <f t="shared" ca="1" si="380"/>
        <v>4.0907264144245093E-4</v>
      </c>
      <c r="SA56" s="744">
        <f t="shared" ca="1" si="381"/>
        <v>4.6369920220218162E-3</v>
      </c>
      <c r="SB56" s="744">
        <f t="shared" ca="1" si="382"/>
        <v>0.11767066814439703</v>
      </c>
      <c r="SC56" s="744">
        <f t="shared" ca="1" si="383"/>
        <v>2.4550207768214226E-2</v>
      </c>
      <c r="SD56" s="744">
        <f t="shared" ca="1" si="384"/>
        <v>2.6340537299082391E-2</v>
      </c>
      <c r="SE56" s="744">
        <f t="shared" ca="1" si="385"/>
        <v>2.5931407675282542E-2</v>
      </c>
      <c r="SF56" s="744"/>
      <c r="SG56" s="744">
        <f t="shared" ca="1" si="386"/>
        <v>6.5994773189181986E-4</v>
      </c>
      <c r="SH56" s="744">
        <f t="shared" ca="1" si="387"/>
        <v>0.23585699492128548</v>
      </c>
      <c r="SI56" s="744">
        <f t="shared" ca="1" si="388"/>
        <v>9.4125448409417365E-3</v>
      </c>
      <c r="SJ56" s="744">
        <f t="shared" ca="1" si="389"/>
        <v>4.1803270749232101E-4</v>
      </c>
      <c r="SK56" s="744">
        <f t="shared" ca="1" si="390"/>
        <v>7.1892076158881116E-2</v>
      </c>
      <c r="SL56" s="744">
        <f t="shared" ca="1" si="391"/>
        <v>1.8473850218069229E-2</v>
      </c>
      <c r="SM56" s="744">
        <f t="shared" ca="1" si="392"/>
        <v>5.7987463104888233E-2</v>
      </c>
      <c r="SN56" s="744">
        <f t="shared" ca="1" si="393"/>
        <v>2.2580411042031037E-4</v>
      </c>
      <c r="SO56" s="744">
        <f t="shared" ca="1" si="394"/>
        <v>2.5728610138969748E-2</v>
      </c>
      <c r="SP56" s="100"/>
      <c r="SQ56" s="114"/>
      <c r="SR56" s="806">
        <f t="shared" ca="1" si="395"/>
        <v>0.29430687567592057</v>
      </c>
      <c r="SS56" s="806">
        <f t="shared" ca="1" si="396"/>
        <v>0.37180234231643761</v>
      </c>
      <c r="ST56" s="806">
        <f t="shared" ca="1" si="397"/>
        <v>0.33442522973614042</v>
      </c>
      <c r="SU56" s="806">
        <f t="shared" ca="1" si="398"/>
        <v>0.25681747961898121</v>
      </c>
      <c r="SV56" s="806">
        <f t="shared" ca="1" si="399"/>
        <v>0.97794703262278904</v>
      </c>
      <c r="SW56" s="806">
        <f t="shared" ca="1" si="400"/>
        <v>0.57337575549404773</v>
      </c>
      <c r="SX56" s="806">
        <f t="shared" ca="1" si="401"/>
        <v>0.59900998454452514</v>
      </c>
      <c r="SY56" s="806">
        <f t="shared" ca="1" si="402"/>
        <v>1.8749100913949261E-2</v>
      </c>
      <c r="SZ56" s="806">
        <f t="shared" ca="1" si="403"/>
        <v>2.7206294028299653E-2</v>
      </c>
      <c r="TA56" s="806"/>
      <c r="TB56" s="806">
        <f t="shared" ca="1" si="404"/>
        <v>0.78102456970730583</v>
      </c>
      <c r="TC56" s="806">
        <f t="shared" ca="1" si="405"/>
        <v>0.40812053257499287</v>
      </c>
      <c r="TD56" s="806">
        <f t="shared" ca="1" si="406"/>
        <v>0.80134807315056289</v>
      </c>
      <c r="TE56" s="806">
        <f t="shared" ca="1" si="407"/>
        <v>8.5413761858773612E-2</v>
      </c>
      <c r="TF56" s="806">
        <f t="shared" ca="1" si="408"/>
        <v>0.10171357187479851</v>
      </c>
      <c r="TG56" s="806">
        <f t="shared" ca="1" si="409"/>
        <v>0.97403423051688942</v>
      </c>
      <c r="TH56" s="806">
        <f t="shared" ca="1" si="410"/>
        <v>0.68111303945497359</v>
      </c>
      <c r="TI56" s="806">
        <f t="shared" ca="1" si="411"/>
        <v>0.99442615776948462</v>
      </c>
      <c r="TJ56" s="806">
        <f t="shared" ca="1" si="412"/>
        <v>0.906364669782318</v>
      </c>
      <c r="TK56" s="806"/>
      <c r="TL56" s="806">
        <f t="shared" ca="1" si="413"/>
        <v>0.92093184246266724</v>
      </c>
      <c r="TM56" s="806">
        <f t="shared" ca="1" si="414"/>
        <v>0.6393112590935649</v>
      </c>
      <c r="TN56" s="806">
        <f t="shared" ca="1" si="415"/>
        <v>0.73309468249565601</v>
      </c>
      <c r="TO56" s="806">
        <f t="shared" ca="1" si="416"/>
        <v>0.24805940881029986</v>
      </c>
      <c r="TP56" s="806">
        <f t="shared" ca="1" si="417"/>
        <v>6.3294145679313338E-2</v>
      </c>
      <c r="TQ56" s="806">
        <f t="shared" ca="1" si="418"/>
        <v>0.96909169670142414</v>
      </c>
      <c r="TR56" s="806">
        <f t="shared" ca="1" si="419"/>
        <v>0.15382155806198944</v>
      </c>
      <c r="TS56" s="806">
        <f t="shared" ca="1" si="420"/>
        <v>0.19458779702281417</v>
      </c>
      <c r="TT56" s="806">
        <f t="shared" ca="1" si="421"/>
        <v>0.96153094910916914</v>
      </c>
      <c r="TU56" s="806"/>
      <c r="TV56" s="806">
        <f t="shared" ca="1" si="422"/>
        <v>0.18082559569020804</v>
      </c>
      <c r="TW56" s="806">
        <f t="shared" ca="1" si="313"/>
        <v>0.59241469127076007</v>
      </c>
      <c r="TX56" s="806">
        <f t="shared" ca="1" si="314"/>
        <v>0.11772767422253477</v>
      </c>
      <c r="TY56" s="806">
        <f t="shared" ca="1" si="315"/>
        <v>0.25349274377837472</v>
      </c>
      <c r="TZ56" s="806">
        <f t="shared" ca="1" si="316"/>
        <v>0.98131450733108516</v>
      </c>
      <c r="UA56" s="806">
        <f t="shared" ca="1" si="317"/>
        <v>0.15214373415869092</v>
      </c>
      <c r="UB56" s="806">
        <f t="shared" ca="1" si="318"/>
        <v>0.36332572037963057</v>
      </c>
      <c r="UC56" s="806">
        <f t="shared" ca="1" si="319"/>
        <v>1.6681028145509825E-3</v>
      </c>
      <c r="UD56" s="1439">
        <f t="shared" ca="1" si="320"/>
        <v>0.95401126062909836</v>
      </c>
    </row>
    <row r="57" spans="3:551" s="7" customFormat="1" x14ac:dyDescent="0.25">
      <c r="C57" s="21"/>
      <c r="D57" s="1308">
        <v>44032</v>
      </c>
      <c r="E57" s="233">
        <f t="shared" ca="1" si="321"/>
        <v>27</v>
      </c>
      <c r="F57" s="1392">
        <f t="shared" ca="1" si="321"/>
        <v>61</v>
      </c>
      <c r="G57" s="1392">
        <f t="shared" ca="1" si="321"/>
        <v>63</v>
      </c>
      <c r="H57" s="1392">
        <f t="shared" ca="1" si="321"/>
        <v>74</v>
      </c>
      <c r="I57" s="1392">
        <f t="shared" ca="1" si="321"/>
        <v>54</v>
      </c>
      <c r="J57" s="1392">
        <f t="shared" ca="1" si="321"/>
        <v>77</v>
      </c>
      <c r="K57" s="1392">
        <f t="shared" ca="1" si="321"/>
        <v>47</v>
      </c>
      <c r="L57" s="1392">
        <f t="shared" ca="1" si="321"/>
        <v>47</v>
      </c>
      <c r="M57" s="1392">
        <f t="shared" ca="1" si="321"/>
        <v>51</v>
      </c>
      <c r="N57" s="1392">
        <f t="shared" ca="1" si="321"/>
        <v>57</v>
      </c>
      <c r="O57" s="1392">
        <f t="shared" ca="1" si="322"/>
        <v>39</v>
      </c>
      <c r="P57" s="1392">
        <f t="shared" ca="1" si="322"/>
        <v>77</v>
      </c>
      <c r="Q57" s="1392">
        <f t="shared" ca="1" si="322"/>
        <v>75</v>
      </c>
      <c r="R57" s="1392">
        <f t="shared" ca="1" si="322"/>
        <v>41</v>
      </c>
      <c r="S57" s="1392">
        <f t="shared" ca="1" si="322"/>
        <v>45</v>
      </c>
      <c r="T57" s="1392">
        <f t="shared" ca="1" si="322"/>
        <v>16</v>
      </c>
      <c r="U57" s="1392">
        <f t="shared" ca="1" si="322"/>
        <v>55</v>
      </c>
      <c r="V57" s="1392">
        <f t="shared" ca="1" si="322"/>
        <v>14</v>
      </c>
      <c r="W57" s="1392">
        <f t="shared" ca="1" si="322"/>
        <v>32</v>
      </c>
      <c r="X57" s="1392">
        <f t="shared" ca="1" si="322"/>
        <v>38</v>
      </c>
      <c r="Y57" s="1392">
        <f t="shared" ca="1" si="323"/>
        <v>22</v>
      </c>
      <c r="Z57" s="1392">
        <f t="shared" ca="1" si="323"/>
        <v>9</v>
      </c>
      <c r="AA57" s="1392">
        <f t="shared" ca="1" si="323"/>
        <v>50</v>
      </c>
      <c r="AB57" s="1392">
        <f t="shared" ca="1" si="323"/>
        <v>9</v>
      </c>
      <c r="AC57" s="1392">
        <f t="shared" ca="1" si="323"/>
        <v>67</v>
      </c>
      <c r="AD57" s="1392">
        <f t="shared" ca="1" si="323"/>
        <v>45</v>
      </c>
      <c r="AE57" s="1392">
        <f t="shared" ca="1" si="323"/>
        <v>78</v>
      </c>
      <c r="AF57" s="1392">
        <f t="shared" ca="1" si="323"/>
        <v>78</v>
      </c>
      <c r="AG57" s="1392">
        <f t="shared" ca="1" si="323"/>
        <v>31</v>
      </c>
      <c r="AH57" s="1392">
        <f t="shared" ca="1" si="323"/>
        <v>27</v>
      </c>
      <c r="AI57" s="1392">
        <f t="shared" ca="1" si="324"/>
        <v>73</v>
      </c>
      <c r="AJ57" s="1392">
        <f t="shared" ca="1" si="324"/>
        <v>30</v>
      </c>
      <c r="AK57" s="1392">
        <f t="shared" ca="1" si="324"/>
        <v>10</v>
      </c>
      <c r="AL57" s="1392">
        <f t="shared" ca="1" si="324"/>
        <v>19</v>
      </c>
      <c r="AM57" s="1392">
        <f t="shared" ca="1" si="324"/>
        <v>52</v>
      </c>
      <c r="AN57" s="1392">
        <f t="shared" ca="1" si="324"/>
        <v>42</v>
      </c>
      <c r="AO57" s="1392">
        <f t="shared" ca="1" si="324"/>
        <v>66</v>
      </c>
      <c r="AP57" s="1392">
        <f t="shared" ca="1" si="324"/>
        <v>78</v>
      </c>
      <c r="AQ57" s="1392">
        <f t="shared" ca="1" si="324"/>
        <v>22</v>
      </c>
      <c r="AR57" s="1392">
        <f t="shared" ca="1" si="324"/>
        <v>21</v>
      </c>
      <c r="AS57" s="1392">
        <f t="shared" ca="1" si="325"/>
        <v>12</v>
      </c>
      <c r="AT57" s="1392">
        <f t="shared" ca="1" si="325"/>
        <v>52</v>
      </c>
      <c r="AU57" s="1392">
        <f t="shared" ca="1" si="325"/>
        <v>11</v>
      </c>
      <c r="AV57" s="1392">
        <f t="shared" ca="1" si="325"/>
        <v>21</v>
      </c>
      <c r="AW57" s="1392">
        <f t="shared" ca="1" si="325"/>
        <v>12</v>
      </c>
      <c r="AX57" s="1392">
        <f t="shared" ca="1" si="325"/>
        <v>36</v>
      </c>
      <c r="AY57" s="1392">
        <f t="shared" ca="1" si="325"/>
        <v>30</v>
      </c>
      <c r="AZ57" s="1392">
        <f t="shared" ca="1" si="325"/>
        <v>34</v>
      </c>
      <c r="BA57" s="1392">
        <f t="shared" ca="1" si="325"/>
        <v>14</v>
      </c>
      <c r="BB57" s="1392">
        <f t="shared" ca="1" si="325"/>
        <v>53</v>
      </c>
      <c r="BC57" s="1392">
        <f t="shared" ca="1" si="326"/>
        <v>36</v>
      </c>
      <c r="BD57" s="1392">
        <f t="shared" ca="1" si="326"/>
        <v>41</v>
      </c>
      <c r="BE57" s="1392">
        <f t="shared" ca="1" si="326"/>
        <v>66</v>
      </c>
      <c r="BF57" s="1392">
        <f t="shared" ca="1" si="326"/>
        <v>37</v>
      </c>
      <c r="BG57" s="1392">
        <f t="shared" ca="1" si="326"/>
        <v>56</v>
      </c>
      <c r="BH57" s="1392">
        <f t="shared" ca="1" si="326"/>
        <v>37</v>
      </c>
      <c r="BI57" s="1392">
        <f t="shared" ca="1" si="326"/>
        <v>54</v>
      </c>
      <c r="BJ57" s="1392">
        <f t="shared" ca="1" si="326"/>
        <v>76</v>
      </c>
      <c r="BK57" s="1392">
        <f t="shared" ca="1" si="326"/>
        <v>57</v>
      </c>
      <c r="BL57" s="1392">
        <f t="shared" ca="1" si="326"/>
        <v>74</v>
      </c>
      <c r="BM57" s="1392">
        <f t="shared" ca="1" si="327"/>
        <v>52</v>
      </c>
      <c r="BN57" s="1392">
        <f t="shared" ca="1" si="327"/>
        <v>32</v>
      </c>
      <c r="BO57" s="1392">
        <f t="shared" ca="1" si="327"/>
        <v>11</v>
      </c>
      <c r="BP57" s="1392">
        <f t="shared" ca="1" si="327"/>
        <v>37</v>
      </c>
      <c r="BQ57" s="1392">
        <f t="shared" ca="1" si="327"/>
        <v>43</v>
      </c>
      <c r="BR57" s="1392">
        <f t="shared" ca="1" si="327"/>
        <v>44</v>
      </c>
      <c r="BS57" s="1392">
        <f t="shared" ca="1" si="327"/>
        <v>14</v>
      </c>
      <c r="BT57" s="1392">
        <f t="shared" ca="1" si="327"/>
        <v>34</v>
      </c>
      <c r="BU57" s="1392">
        <f t="shared" ca="1" si="327"/>
        <v>48</v>
      </c>
      <c r="BV57" s="1392">
        <f t="shared" ca="1" si="327"/>
        <v>71</v>
      </c>
      <c r="BW57" s="1392">
        <f t="shared" ca="1" si="328"/>
        <v>17</v>
      </c>
      <c r="BX57" s="1392">
        <f t="shared" ca="1" si="328"/>
        <v>61</v>
      </c>
      <c r="BY57" s="1392">
        <f t="shared" ca="1" si="328"/>
        <v>56</v>
      </c>
      <c r="BZ57" s="1392">
        <f t="shared" ca="1" si="328"/>
        <v>69</v>
      </c>
      <c r="CA57" s="1392">
        <f t="shared" ca="1" si="328"/>
        <v>42</v>
      </c>
      <c r="CB57" s="1392">
        <f t="shared" ca="1" si="328"/>
        <v>48</v>
      </c>
      <c r="CC57" s="1392">
        <f t="shared" ca="1" si="328"/>
        <v>66</v>
      </c>
      <c r="CD57" s="1392">
        <f t="shared" ca="1" si="328"/>
        <v>35</v>
      </c>
      <c r="CE57" s="1392">
        <f t="shared" ca="1" si="328"/>
        <v>38</v>
      </c>
      <c r="CF57" s="1392">
        <f t="shared" ca="1" si="328"/>
        <v>38</v>
      </c>
      <c r="CG57" s="1392">
        <f t="shared" ca="1" si="329"/>
        <v>18</v>
      </c>
      <c r="CH57" s="1392">
        <f t="shared" ca="1" si="329"/>
        <v>14</v>
      </c>
      <c r="CI57" s="1392">
        <f t="shared" ca="1" si="329"/>
        <v>52</v>
      </c>
      <c r="CJ57" s="1392">
        <f t="shared" ca="1" si="329"/>
        <v>34</v>
      </c>
      <c r="CK57" s="1392">
        <f t="shared" ca="1" si="329"/>
        <v>13</v>
      </c>
      <c r="CL57" s="1392">
        <f t="shared" ca="1" si="329"/>
        <v>32</v>
      </c>
      <c r="CM57" s="1392">
        <f t="shared" ca="1" si="329"/>
        <v>28</v>
      </c>
      <c r="CN57" s="1392">
        <f t="shared" ca="1" si="329"/>
        <v>50</v>
      </c>
      <c r="CO57" s="1392">
        <f t="shared" ca="1" si="329"/>
        <v>32</v>
      </c>
      <c r="CP57" s="1392">
        <f t="shared" ca="1" si="329"/>
        <v>65</v>
      </c>
      <c r="CQ57" s="1392">
        <f t="shared" ca="1" si="330"/>
        <v>69</v>
      </c>
      <c r="CR57" s="1392">
        <f t="shared" ca="1" si="330"/>
        <v>60</v>
      </c>
      <c r="CS57" s="1392">
        <f t="shared" ca="1" si="330"/>
        <v>19</v>
      </c>
      <c r="CT57" s="1392">
        <f t="shared" ca="1" si="330"/>
        <v>38</v>
      </c>
      <c r="CU57" s="1392">
        <f t="shared" ca="1" si="330"/>
        <v>6</v>
      </c>
      <c r="CV57" s="1392">
        <f t="shared" ca="1" si="330"/>
        <v>40</v>
      </c>
      <c r="CW57" s="1392">
        <f t="shared" ca="1" si="330"/>
        <v>74</v>
      </c>
      <c r="CX57" s="1392">
        <f t="shared" ca="1" si="330"/>
        <v>30</v>
      </c>
      <c r="CY57" s="1392">
        <f t="shared" ca="1" si="330"/>
        <v>79</v>
      </c>
      <c r="CZ57" s="1392">
        <f t="shared" ca="1" si="330"/>
        <v>78</v>
      </c>
      <c r="DA57" s="1392">
        <f t="shared" ca="1" si="331"/>
        <v>15</v>
      </c>
      <c r="DB57" s="1392">
        <f t="shared" ca="1" si="331"/>
        <v>57</v>
      </c>
      <c r="DC57" s="1392">
        <f t="shared" ca="1" si="331"/>
        <v>33</v>
      </c>
      <c r="DD57" s="1392">
        <f t="shared" ca="1" si="331"/>
        <v>32</v>
      </c>
      <c r="DE57" s="1392">
        <f t="shared" ca="1" si="331"/>
        <v>79</v>
      </c>
      <c r="DF57" s="1392">
        <f t="shared" ca="1" si="331"/>
        <v>43</v>
      </c>
      <c r="DG57" s="1392">
        <f t="shared" ca="1" si="331"/>
        <v>64</v>
      </c>
      <c r="DH57" s="1392">
        <f t="shared" ca="1" si="331"/>
        <v>79</v>
      </c>
      <c r="DI57" s="1392">
        <f t="shared" ca="1" si="331"/>
        <v>41</v>
      </c>
      <c r="DJ57" s="1392">
        <f t="shared" ca="1" si="331"/>
        <v>9</v>
      </c>
      <c r="DK57" s="1392">
        <f t="shared" ca="1" si="332"/>
        <v>47</v>
      </c>
      <c r="DL57" s="1392">
        <f t="shared" ca="1" si="332"/>
        <v>41</v>
      </c>
      <c r="DM57" s="1392">
        <f t="shared" ca="1" si="332"/>
        <v>26</v>
      </c>
      <c r="DN57" s="1392">
        <f t="shared" ca="1" si="332"/>
        <v>9</v>
      </c>
      <c r="DO57" s="1392">
        <f t="shared" ca="1" si="332"/>
        <v>61</v>
      </c>
      <c r="DP57" s="1392">
        <f t="shared" ca="1" si="332"/>
        <v>12</v>
      </c>
      <c r="DQ57" s="1392">
        <f t="shared" ca="1" si="332"/>
        <v>62</v>
      </c>
      <c r="DR57" s="1392">
        <f t="shared" ca="1" si="332"/>
        <v>74</v>
      </c>
      <c r="DS57" s="1392">
        <f t="shared" ca="1" si="332"/>
        <v>22</v>
      </c>
      <c r="DT57" s="1392">
        <f t="shared" ca="1" si="332"/>
        <v>60</v>
      </c>
      <c r="DU57" s="1392">
        <f t="shared" ca="1" si="333"/>
        <v>53</v>
      </c>
      <c r="DV57" s="1392">
        <f t="shared" ca="1" si="333"/>
        <v>9</v>
      </c>
      <c r="DW57" s="1392">
        <f t="shared" ca="1" si="333"/>
        <v>68</v>
      </c>
      <c r="DX57" s="1392">
        <f t="shared" ca="1" si="333"/>
        <v>63</v>
      </c>
      <c r="DY57" s="1392">
        <f t="shared" ca="1" si="333"/>
        <v>57</v>
      </c>
      <c r="DZ57" s="1392">
        <f t="shared" ca="1" si="333"/>
        <v>30</v>
      </c>
      <c r="EA57" s="1392">
        <f t="shared" ca="1" si="333"/>
        <v>46</v>
      </c>
      <c r="EB57" s="1392">
        <f t="shared" ca="1" si="333"/>
        <v>37</v>
      </c>
      <c r="EC57" s="1392">
        <f t="shared" ca="1" si="333"/>
        <v>68</v>
      </c>
      <c r="ED57" s="1392">
        <f t="shared" ca="1" si="333"/>
        <v>41</v>
      </c>
      <c r="EE57" s="1392">
        <f t="shared" ca="1" si="334"/>
        <v>64</v>
      </c>
      <c r="EF57" s="1392">
        <f t="shared" ca="1" si="334"/>
        <v>41</v>
      </c>
      <c r="EG57" s="1392">
        <f t="shared" ca="1" si="334"/>
        <v>51</v>
      </c>
      <c r="EH57" s="1392">
        <f t="shared" ca="1" si="334"/>
        <v>46</v>
      </c>
      <c r="EI57" s="1392">
        <f t="shared" ca="1" si="334"/>
        <v>51</v>
      </c>
      <c r="EJ57" s="1392">
        <f t="shared" ca="1" si="334"/>
        <v>68</v>
      </c>
      <c r="EK57" s="1392">
        <f t="shared" ca="1" si="334"/>
        <v>50</v>
      </c>
      <c r="EL57" s="1392">
        <f t="shared" ca="1" si="334"/>
        <v>10</v>
      </c>
      <c r="EM57" s="1392">
        <f t="shared" ca="1" si="334"/>
        <v>40</v>
      </c>
      <c r="EN57" s="1392">
        <f t="shared" ca="1" si="334"/>
        <v>12</v>
      </c>
      <c r="EO57" s="1392">
        <f t="shared" ca="1" si="334"/>
        <v>25</v>
      </c>
      <c r="EP57" s="1392">
        <f t="shared" ca="1" si="334"/>
        <v>45</v>
      </c>
      <c r="EQ57" s="1392">
        <f t="shared" ca="1" si="334"/>
        <v>23</v>
      </c>
      <c r="ER57" s="1393">
        <f t="shared" ca="1" si="334"/>
        <v>40</v>
      </c>
      <c r="ES57" s="377"/>
      <c r="ET57" s="316">
        <f t="shared" ca="1" si="335"/>
        <v>854.05876252615155</v>
      </c>
      <c r="EU57" s="1392">
        <f t="shared" ca="1" si="20"/>
        <v>4197501.3938479675</v>
      </c>
      <c r="EV57" s="1392">
        <f t="shared" ca="1" si="21"/>
        <v>6920509.8318305807</v>
      </c>
      <c r="EW57" s="1392">
        <f t="shared" ca="1" si="22"/>
        <v>108254987.75023076</v>
      </c>
      <c r="EX57" s="1392">
        <f t="shared" ca="1" si="23"/>
        <v>729416.36984770128</v>
      </c>
      <c r="EY57" s="1392">
        <f t="shared" ca="1" si="24"/>
        <v>229175810.86564341</v>
      </c>
      <c r="EZ57" s="1392">
        <f t="shared" ca="1" si="25"/>
        <v>126753.55900574342</v>
      </c>
      <c r="FA57" s="1392">
        <f t="shared" ca="1" si="26"/>
        <v>126753.55900574342</v>
      </c>
      <c r="FB57" s="1392">
        <f t="shared" ca="1" si="27"/>
        <v>344551.8961378237</v>
      </c>
      <c r="FC57" s="1392">
        <f t="shared" ca="1" si="28"/>
        <v>1544174.4670851405</v>
      </c>
      <c r="FD57" s="1392">
        <f t="shared" ca="1" si="29"/>
        <v>17154.228809290984</v>
      </c>
      <c r="FE57" s="1392">
        <f t="shared" ca="1" si="30"/>
        <v>229175810.86564341</v>
      </c>
      <c r="FF57" s="1392">
        <f t="shared" ca="1" si="31"/>
        <v>139002155.75451639</v>
      </c>
      <c r="FG57" s="1392">
        <f t="shared" ca="1" si="32"/>
        <v>28282.541920334977</v>
      </c>
      <c r="FH57" s="1392">
        <f t="shared" ca="1" si="33"/>
        <v>76879.919764677761</v>
      </c>
      <c r="FI57" s="1392">
        <f t="shared" ca="1" si="34"/>
        <v>54.598150033144236</v>
      </c>
      <c r="FJ57" s="1392">
        <f t="shared" ca="1" si="35"/>
        <v>936589.15823255444</v>
      </c>
      <c r="FK57" s="1392">
        <f t="shared" ca="1" si="36"/>
        <v>33.115451958692312</v>
      </c>
      <c r="FL57" s="1392">
        <f t="shared" ca="1" si="37"/>
        <v>2980.9579870417283</v>
      </c>
      <c r="FM57" s="1392">
        <f t="shared" ca="1" si="38"/>
        <v>13359.726829661873</v>
      </c>
      <c r="FN57" s="1392">
        <f t="shared" ca="1" si="39"/>
        <v>244.69193226422038</v>
      </c>
      <c r="FO57" s="1392">
        <f t="shared" ca="1" si="40"/>
        <v>9.4877358363585262</v>
      </c>
      <c r="FP57" s="1392">
        <f t="shared" ca="1" si="41"/>
        <v>268337.28652087448</v>
      </c>
      <c r="FQ57" s="1392">
        <f t="shared" ca="1" si="42"/>
        <v>9.4877358363585262</v>
      </c>
      <c r="FR57" s="1392">
        <f t="shared" ca="1" si="43"/>
        <v>18811896.119537231</v>
      </c>
      <c r="FS57" s="1392">
        <f t="shared" ca="1" si="44"/>
        <v>76879.919764677761</v>
      </c>
      <c r="FT57" s="1392">
        <f t="shared" ca="1" si="45"/>
        <v>294267566.04150879</v>
      </c>
      <c r="FU57" s="1392">
        <f t="shared" ca="1" si="46"/>
        <v>294267566.04150879</v>
      </c>
      <c r="FV57" s="1392">
        <f t="shared" ca="1" si="47"/>
        <v>2321.572414611057</v>
      </c>
      <c r="FW57" s="1392">
        <f t="shared" ca="1" si="48"/>
        <v>854.05876252615155</v>
      </c>
      <c r="FX57" s="1392">
        <f t="shared" ca="1" si="49"/>
        <v>84309069.231265053</v>
      </c>
      <c r="FY57" s="1392">
        <f t="shared" ca="1" si="50"/>
        <v>1808.0424144560632</v>
      </c>
      <c r="FZ57" s="1392">
        <f t="shared" ca="1" si="51"/>
        <v>12.182493960703473</v>
      </c>
      <c r="GA57" s="1392">
        <f t="shared" ca="1" si="52"/>
        <v>115.58428452718766</v>
      </c>
      <c r="GB57" s="1392">
        <f t="shared" ca="1" si="53"/>
        <v>442413.39200892049</v>
      </c>
      <c r="GC57" s="1392">
        <f t="shared" ca="1" si="54"/>
        <v>36315.502674246636</v>
      </c>
      <c r="GD57" s="1392">
        <f t="shared" ca="1" si="55"/>
        <v>14650719.428953517</v>
      </c>
      <c r="GE57" s="1392">
        <f t="shared" ca="1" si="56"/>
        <v>294267566.04150879</v>
      </c>
      <c r="GF57" s="1392">
        <f t="shared" ca="1" si="57"/>
        <v>244.69193226422038</v>
      </c>
      <c r="GG57" s="1392">
        <f t="shared" ca="1" si="58"/>
        <v>190.56626845862999</v>
      </c>
      <c r="GH57" s="1392">
        <f t="shared" ca="1" si="59"/>
        <v>20.085536923187668</v>
      </c>
      <c r="GI57" s="1392">
        <f t="shared" ca="1" si="60"/>
        <v>442413.39200892049</v>
      </c>
      <c r="GJ57" s="1392">
        <f t="shared" ca="1" si="61"/>
        <v>15.642631884188171</v>
      </c>
      <c r="GK57" s="1392">
        <f t="shared" ca="1" si="62"/>
        <v>190.56626845862999</v>
      </c>
      <c r="GL57" s="1392">
        <f t="shared" ca="1" si="63"/>
        <v>20.085536923187668</v>
      </c>
      <c r="GM57" s="1392">
        <f t="shared" ca="1" si="64"/>
        <v>8103.0839275753842</v>
      </c>
      <c r="GN57" s="1392">
        <f t="shared" ca="1" si="65"/>
        <v>1808.0424144560632</v>
      </c>
      <c r="GO57" s="1392">
        <f t="shared" ca="1" si="66"/>
        <v>4914.7688402991344</v>
      </c>
      <c r="GP57" s="1392">
        <f t="shared" ca="1" si="67"/>
        <v>33.115451958692312</v>
      </c>
      <c r="GQ57" s="1392">
        <f t="shared" ca="1" si="68"/>
        <v>568070.04002249124</v>
      </c>
      <c r="GR57" s="1392">
        <f t="shared" ca="1" si="69"/>
        <v>8103.0839275753842</v>
      </c>
      <c r="GS57" s="1392">
        <f t="shared" ca="1" si="70"/>
        <v>28282.541920334977</v>
      </c>
      <c r="GT57" s="1392">
        <f t="shared" ca="1" si="71"/>
        <v>14650719.428953517</v>
      </c>
      <c r="GU57" s="1392">
        <f t="shared" ca="1" si="72"/>
        <v>10404.565716560723</v>
      </c>
      <c r="GV57" s="1392">
        <f t="shared" ca="1" si="73"/>
        <v>1202604.2841647768</v>
      </c>
      <c r="GW57" s="1392">
        <f t="shared" ca="1" si="74"/>
        <v>10404.565716560723</v>
      </c>
      <c r="GX57" s="1392">
        <f t="shared" ca="1" si="75"/>
        <v>729416.36984770128</v>
      </c>
      <c r="GY57" s="1392">
        <f t="shared" ca="1" si="76"/>
        <v>178482300.96318725</v>
      </c>
      <c r="GZ57" s="1392">
        <f t="shared" ca="1" si="77"/>
        <v>1544174.4670851405</v>
      </c>
      <c r="HA57" s="1392">
        <f t="shared" ca="1" si="78"/>
        <v>108254987.75023076</v>
      </c>
      <c r="HB57" s="1392">
        <f t="shared" ca="1" si="79"/>
        <v>442413.39200892049</v>
      </c>
      <c r="HC57" s="1392">
        <f t="shared" ca="1" si="80"/>
        <v>2980.9579870417283</v>
      </c>
      <c r="HD57" s="1392">
        <f t="shared" ca="1" si="81"/>
        <v>15.642631884188171</v>
      </c>
      <c r="HE57" s="1392">
        <f t="shared" ca="1" si="82"/>
        <v>10404.565716560723</v>
      </c>
      <c r="HF57" s="1392">
        <f t="shared" ca="1" si="83"/>
        <v>46630.028453524326</v>
      </c>
      <c r="HG57" s="1392">
        <f t="shared" ca="1" si="84"/>
        <v>59874.141715197817</v>
      </c>
      <c r="HH57" s="1392">
        <f t="shared" ca="1" si="85"/>
        <v>33.115451958692312</v>
      </c>
      <c r="HI57" s="1392">
        <f t="shared" ca="1" si="86"/>
        <v>4914.7688402991344</v>
      </c>
      <c r="HJ57" s="1392">
        <f t="shared" ca="1" si="87"/>
        <v>162754.79141900392</v>
      </c>
      <c r="HK57" s="1392">
        <f t="shared" ca="1" si="88"/>
        <v>51136035.380597278</v>
      </c>
      <c r="HL57" s="1392">
        <f t="shared" ca="1" si="89"/>
        <v>70.105412346687856</v>
      </c>
      <c r="HM57" s="1392">
        <f t="shared" ca="1" si="90"/>
        <v>4197501.3938479675</v>
      </c>
      <c r="HN57" s="1392">
        <f t="shared" ca="1" si="91"/>
        <v>1202604.2841647768</v>
      </c>
      <c r="HO57" s="1392">
        <f t="shared" ca="1" si="92"/>
        <v>31015573.274482232</v>
      </c>
      <c r="HP57" s="1392">
        <f t="shared" ca="1" si="93"/>
        <v>36315.502674246636</v>
      </c>
      <c r="HQ57" s="1392">
        <f t="shared" ca="1" si="94"/>
        <v>162754.79141900392</v>
      </c>
      <c r="HR57" s="1392">
        <f t="shared" ca="1" si="95"/>
        <v>14650719.428953517</v>
      </c>
      <c r="HS57" s="1392">
        <f t="shared" ca="1" si="96"/>
        <v>6310.6881080890244</v>
      </c>
      <c r="HT57" s="1392">
        <f t="shared" ca="1" si="97"/>
        <v>13359.726829661873</v>
      </c>
      <c r="HU57" s="1392">
        <f t="shared" ca="1" si="98"/>
        <v>13359.726829661873</v>
      </c>
      <c r="HV57" s="1392">
        <f t="shared" ca="1" si="99"/>
        <v>90.017131300521811</v>
      </c>
      <c r="HW57" s="1392">
        <f t="shared" ca="1" si="100"/>
        <v>33.115451958692312</v>
      </c>
      <c r="HX57" s="1392">
        <f t="shared" ca="1" si="101"/>
        <v>442413.39200892049</v>
      </c>
      <c r="HY57" s="1392">
        <f t="shared" ca="1" si="102"/>
        <v>4914.7688402991344</v>
      </c>
      <c r="HZ57" s="1392">
        <f t="shared" ca="1" si="103"/>
        <v>25.790339917193062</v>
      </c>
      <c r="IA57" s="1392">
        <f t="shared" ca="1" si="104"/>
        <v>2980.9579870417283</v>
      </c>
      <c r="IB57" s="1392">
        <f t="shared" ca="1" si="105"/>
        <v>1096.6331584284585</v>
      </c>
      <c r="IC57" s="1392">
        <f t="shared" ca="1" si="106"/>
        <v>268337.28652087448</v>
      </c>
      <c r="ID57" s="1392">
        <f t="shared" ca="1" si="107"/>
        <v>2980.9579870417283</v>
      </c>
      <c r="IE57" s="1392">
        <f t="shared" ca="1" si="108"/>
        <v>11409991.763828445</v>
      </c>
      <c r="IF57" s="1392">
        <f t="shared" ca="1" si="109"/>
        <v>31015573.274482232</v>
      </c>
      <c r="IG57" s="1392">
        <f t="shared" ca="1" si="110"/>
        <v>3269017.3724721107</v>
      </c>
      <c r="IH57" s="1392">
        <f t="shared" ca="1" si="111"/>
        <v>115.58428452718766</v>
      </c>
      <c r="II57" s="1392">
        <f t="shared" ca="1" si="112"/>
        <v>13359.726829661873</v>
      </c>
      <c r="IJ57" s="1392">
        <f t="shared" ca="1" si="113"/>
        <v>4.4816890703380645</v>
      </c>
      <c r="IK57" s="1392">
        <f t="shared" ca="1" si="114"/>
        <v>22026.465794806718</v>
      </c>
      <c r="IL57" s="1392">
        <f t="shared" ca="1" si="115"/>
        <v>108254987.75023076</v>
      </c>
      <c r="IM57" s="1392">
        <f t="shared" ca="1" si="116"/>
        <v>1808.0424144560632</v>
      </c>
      <c r="IN57" s="1392">
        <f t="shared" ca="1" si="117"/>
        <v>377847034.10413581</v>
      </c>
      <c r="IO57" s="1392">
        <f t="shared" ca="1" si="118"/>
        <v>294267566.04150879</v>
      </c>
      <c r="IP57" s="1392">
        <f t="shared" ca="1" si="119"/>
        <v>42.521082000062783</v>
      </c>
      <c r="IQ57" s="1392">
        <f t="shared" ca="1" si="120"/>
        <v>1544174.4670851405</v>
      </c>
      <c r="IR57" s="1392">
        <f t="shared" ca="1" si="121"/>
        <v>3827.6258214399063</v>
      </c>
      <c r="IS57" s="1392">
        <f t="shared" ca="1" si="122"/>
        <v>2980.9579870417283</v>
      </c>
      <c r="IT57" s="1392">
        <f t="shared" ca="1" si="123"/>
        <v>377847034.10413581</v>
      </c>
      <c r="IU57" s="1392">
        <f t="shared" ca="1" si="124"/>
        <v>46630.028453524326</v>
      </c>
      <c r="IV57" s="1392">
        <f t="shared" ca="1" si="125"/>
        <v>8886110.5205078721</v>
      </c>
      <c r="IW57" s="1392">
        <f t="shared" ca="1" si="126"/>
        <v>377847034.10413581</v>
      </c>
      <c r="IX57" s="1392">
        <f t="shared" ca="1" si="127"/>
        <v>28282.541920334977</v>
      </c>
      <c r="IY57" s="1392">
        <f t="shared" ca="1" si="128"/>
        <v>9.4877358363585262</v>
      </c>
      <c r="IZ57" s="1392">
        <f t="shared" ca="1" si="129"/>
        <v>126753.55900574342</v>
      </c>
      <c r="JA57" s="1392">
        <f t="shared" ca="1" si="130"/>
        <v>28282.541920334977</v>
      </c>
      <c r="JB57" s="1392">
        <f t="shared" ca="1" si="131"/>
        <v>665.14163304436181</v>
      </c>
      <c r="JC57" s="1392">
        <f t="shared" ca="1" si="132"/>
        <v>9.4877358363585262</v>
      </c>
      <c r="JD57" s="1392">
        <f t="shared" ca="1" si="133"/>
        <v>4197501.3938479675</v>
      </c>
      <c r="JE57" s="1392">
        <f t="shared" ca="1" si="134"/>
        <v>20.085536923187668</v>
      </c>
      <c r="JF57" s="1392">
        <f t="shared" ca="1" si="135"/>
        <v>5389698.476283012</v>
      </c>
      <c r="JG57" s="1392">
        <f t="shared" ca="1" si="136"/>
        <v>108254987.75023076</v>
      </c>
      <c r="JH57" s="1392">
        <f t="shared" ca="1" si="137"/>
        <v>244.69193226422038</v>
      </c>
      <c r="JI57" s="1392">
        <f t="shared" ca="1" si="138"/>
        <v>3269017.3724721107</v>
      </c>
      <c r="JJ57" s="1392">
        <f t="shared" ca="1" si="139"/>
        <v>568070.04002249124</v>
      </c>
      <c r="JK57" s="1392">
        <f t="shared" ca="1" si="140"/>
        <v>9.4877358363585262</v>
      </c>
      <c r="JL57" s="1392">
        <f t="shared" ca="1" si="141"/>
        <v>24154952.753575299</v>
      </c>
      <c r="JM57" s="1392">
        <f t="shared" ca="1" si="142"/>
        <v>6920509.8318305807</v>
      </c>
      <c r="JN57" s="1392">
        <f t="shared" ca="1" si="143"/>
        <v>1544174.4670851405</v>
      </c>
      <c r="JO57" s="1392">
        <f t="shared" ca="1" si="144"/>
        <v>1808.0424144560632</v>
      </c>
      <c r="JP57" s="1392">
        <f t="shared" ca="1" si="145"/>
        <v>98715.771010760494</v>
      </c>
      <c r="JQ57" s="1392">
        <f t="shared" ca="1" si="146"/>
        <v>10404.565716560723</v>
      </c>
      <c r="JR57" s="1392">
        <f t="shared" ca="1" si="147"/>
        <v>24154952.753575299</v>
      </c>
      <c r="JS57" s="1392">
        <f t="shared" ca="1" si="148"/>
        <v>28282.541920334977</v>
      </c>
      <c r="JT57" s="1392">
        <f t="shared" ca="1" si="149"/>
        <v>8886110.5205078721</v>
      </c>
      <c r="JU57" s="1392">
        <f t="shared" ca="1" si="150"/>
        <v>28282.541920334977</v>
      </c>
      <c r="JV57" s="1392">
        <f t="shared" ca="1" si="151"/>
        <v>344551.8961378237</v>
      </c>
      <c r="JW57" s="1392">
        <f t="shared" ca="1" si="152"/>
        <v>98715.771010760494</v>
      </c>
      <c r="JX57" s="1392">
        <f t="shared" ca="1" si="153"/>
        <v>344551.8961378237</v>
      </c>
      <c r="JY57" s="1392">
        <f t="shared" ca="1" si="154"/>
        <v>24154952.753575299</v>
      </c>
      <c r="JZ57" s="1392">
        <f t="shared" ca="1" si="155"/>
        <v>268337.28652087448</v>
      </c>
      <c r="KA57" s="1392">
        <f t="shared" ca="1" si="156"/>
        <v>12.182493960703473</v>
      </c>
      <c r="KB57" s="1392">
        <f t="shared" ca="1" si="157"/>
        <v>22026.465794806718</v>
      </c>
      <c r="KC57" s="1392">
        <f t="shared" ca="1" si="158"/>
        <v>20.085536923187668</v>
      </c>
      <c r="KD57" s="1392">
        <f t="shared" ca="1" si="159"/>
        <v>518.01282466834198</v>
      </c>
      <c r="KE57" s="1392">
        <f t="shared" ca="1" si="160"/>
        <v>76879.919764677761</v>
      </c>
      <c r="KF57" s="1392">
        <f t="shared" ca="1" si="161"/>
        <v>314.19066028569421</v>
      </c>
      <c r="KG57" s="1399">
        <f t="shared" ca="1" si="162"/>
        <v>22026.465794806718</v>
      </c>
      <c r="KH57" s="1406">
        <f t="shared" ca="1" si="163"/>
        <v>3937217211.17099</v>
      </c>
      <c r="KI57" s="377"/>
      <c r="KJ57" s="1444">
        <f t="shared" ca="1" si="164"/>
        <v>88.37496007653553</v>
      </c>
      <c r="KK57" s="49">
        <f ca="1">(KJ57-KJ56)</f>
        <v>0.48473481855639022</v>
      </c>
      <c r="KL57" s="377"/>
      <c r="KM57" s="908">
        <f t="shared" ca="1" si="166"/>
        <v>2.1691939172239398E-7</v>
      </c>
      <c r="KN57" s="1411">
        <f t="shared" ca="1" si="167"/>
        <v>1.0661086672938639E-3</v>
      </c>
      <c r="KO57" s="1411">
        <f t="shared" ca="1" si="168"/>
        <v>1.7577160366451594E-3</v>
      </c>
      <c r="KP57" s="1411">
        <f t="shared" ca="1" si="169"/>
        <v>2.7495304918174437E-2</v>
      </c>
      <c r="KQ57" s="1411">
        <f t="shared" ca="1" si="170"/>
        <v>1.8526190726235331E-4</v>
      </c>
      <c r="KR57" s="1411">
        <f t="shared" ca="1" si="171"/>
        <v>5.8207560968545839E-2</v>
      </c>
      <c r="KS57" s="1411">
        <f t="shared" ca="1" si="172"/>
        <v>3.2193692196129796E-5</v>
      </c>
      <c r="KT57" s="1411">
        <f t="shared" ca="1" si="173"/>
        <v>3.2193692196129796E-5</v>
      </c>
      <c r="KU57" s="1411">
        <f t="shared" ca="1" si="174"/>
        <v>8.7511528487743391E-5</v>
      </c>
      <c r="KV57" s="1411">
        <f t="shared" ca="1" si="175"/>
        <v>3.9219946075209775E-4</v>
      </c>
      <c r="KW57" s="1411">
        <f t="shared" ca="1" si="176"/>
        <v>4.3569424517955533E-6</v>
      </c>
      <c r="KX57" s="1411">
        <f t="shared" ca="1" si="177"/>
        <v>5.8207560968545839E-2</v>
      </c>
      <c r="KY57" s="1411">
        <f t="shared" ca="1" si="178"/>
        <v>3.5304670354515434E-2</v>
      </c>
      <c r="KZ57" s="1411">
        <f t="shared" ca="1" si="179"/>
        <v>7.1833836954916962E-6</v>
      </c>
      <c r="LA57" s="1411">
        <f t="shared" ca="1" si="180"/>
        <v>1.9526461366304064E-5</v>
      </c>
      <c r="LB57" s="1411">
        <f t="shared" ca="1" si="181"/>
        <v>1.3867192767072633E-8</v>
      </c>
      <c r="LC57" s="1411">
        <f t="shared" ca="1" si="182"/>
        <v>2.3788099766890893E-4</v>
      </c>
      <c r="LD57" s="1411">
        <f t="shared" ca="1" si="183"/>
        <v>8.4108775773748226E-9</v>
      </c>
      <c r="LE57" s="1411">
        <f t="shared" ca="1" si="184"/>
        <v>7.5712307123516426E-7</v>
      </c>
      <c r="LF57" s="1411">
        <f t="shared" ca="1" si="185"/>
        <v>3.3931901932554239E-6</v>
      </c>
      <c r="LG57" s="1411">
        <f t="shared" ca="1" si="186"/>
        <v>6.2148446260460486E-8</v>
      </c>
      <c r="LH57" s="1411">
        <f t="shared" ca="1" si="187"/>
        <v>2.4097567717217016E-9</v>
      </c>
      <c r="LI57" s="1411">
        <f t="shared" ca="1" si="188"/>
        <v>6.8154046914030113E-5</v>
      </c>
      <c r="LJ57" s="1411">
        <f t="shared" ca="1" si="189"/>
        <v>2.4097567717217016E-9</v>
      </c>
      <c r="LK57" s="1411">
        <f t="shared" ca="1" si="190"/>
        <v>4.7779675620035905E-3</v>
      </c>
      <c r="LL57" s="1411">
        <f t="shared" ca="1" si="191"/>
        <v>1.9526461366304064E-5</v>
      </c>
      <c r="LM57" s="1411">
        <f t="shared" ca="1" si="192"/>
        <v>7.4739987727014179E-2</v>
      </c>
      <c r="LN57" s="1411">
        <f t="shared" ca="1" si="193"/>
        <v>7.4739987727014179E-2</v>
      </c>
      <c r="LO57" s="1411">
        <f t="shared" ca="1" si="194"/>
        <v>5.89648040759373E-7</v>
      </c>
      <c r="LP57" s="1411">
        <f t="shared" ca="1" si="195"/>
        <v>2.1691939172239398E-7</v>
      </c>
      <c r="LQ57" s="1411">
        <f t="shared" ca="1" si="196"/>
        <v>2.1413365001061301E-2</v>
      </c>
      <c r="LR57" s="1411">
        <f t="shared" ca="1" si="197"/>
        <v>4.5921835587991934E-7</v>
      </c>
      <c r="LS57" s="1411">
        <f t="shared" ca="1" si="198"/>
        <v>3.0941889429260644E-9</v>
      </c>
      <c r="LT57" s="1411">
        <f t="shared" ca="1" si="199"/>
        <v>2.9356847318263928E-8</v>
      </c>
      <c r="LU57" s="1411">
        <f t="shared" ca="1" si="200"/>
        <v>1.1236702683145587E-4</v>
      </c>
      <c r="LV57" s="1411">
        <f t="shared" ca="1" si="201"/>
        <v>9.2236472428316535E-6</v>
      </c>
      <c r="LW57" s="1411">
        <f t="shared" ca="1" si="202"/>
        <v>3.7210848787781674E-3</v>
      </c>
      <c r="LX57" s="1411">
        <f t="shared" ca="1" si="203"/>
        <v>7.4739987727014179E-2</v>
      </c>
      <c r="LY57" s="1411">
        <f t="shared" ca="1" si="204"/>
        <v>6.2148446260460486E-8</v>
      </c>
      <c r="LZ57" s="1411">
        <f t="shared" ca="1" si="205"/>
        <v>4.8401258614317753E-8</v>
      </c>
      <c r="MA57" s="1411">
        <f t="shared" ca="1" si="206"/>
        <v>5.1014551257673477E-9</v>
      </c>
      <c r="MB57" s="1411">
        <f t="shared" ca="1" si="207"/>
        <v>1.1236702683145587E-4</v>
      </c>
      <c r="MC57" s="1411">
        <f t="shared" ca="1" si="208"/>
        <v>3.9730172467512423E-9</v>
      </c>
      <c r="MD57" s="1411">
        <f t="shared" ca="1" si="209"/>
        <v>4.8401258614317753E-8</v>
      </c>
      <c r="ME57" s="1411">
        <f t="shared" ca="1" si="210"/>
        <v>5.1014551257673477E-9</v>
      </c>
      <c r="MF57" s="1411">
        <f t="shared" ca="1" si="211"/>
        <v>2.0580738864456505E-6</v>
      </c>
      <c r="MG57" s="1411">
        <f t="shared" ca="1" si="212"/>
        <v>4.5921835587991934E-7</v>
      </c>
      <c r="MH57" s="1411">
        <f t="shared" ca="1" si="213"/>
        <v>1.2482849120832236E-6</v>
      </c>
      <c r="MI57" s="1411">
        <f t="shared" ca="1" si="214"/>
        <v>8.4108775773748226E-9</v>
      </c>
      <c r="MJ57" s="1411">
        <f t="shared" ca="1" si="215"/>
        <v>1.4428211844922276E-4</v>
      </c>
      <c r="MK57" s="1411">
        <f t="shared" ca="1" si="216"/>
        <v>2.0580738864456505E-6</v>
      </c>
      <c r="ML57" s="1411">
        <f t="shared" ca="1" si="217"/>
        <v>7.1833836954916962E-6</v>
      </c>
      <c r="MM57" s="1411">
        <f t="shared" ca="1" si="218"/>
        <v>3.7210848787781674E-3</v>
      </c>
      <c r="MN57" s="1411">
        <f t="shared" ca="1" si="219"/>
        <v>2.6426191796175354E-6</v>
      </c>
      <c r="MO57" s="1411">
        <f t="shared" ca="1" si="220"/>
        <v>3.0544524715391647E-4</v>
      </c>
      <c r="MP57" s="1411">
        <f t="shared" ca="1" si="221"/>
        <v>2.6426191796175354E-6</v>
      </c>
      <c r="MQ57" s="1411">
        <f t="shared" ca="1" si="222"/>
        <v>1.8526190726235331E-4</v>
      </c>
      <c r="MR57" s="1411">
        <f t="shared" ca="1" si="223"/>
        <v>4.5332094062980034E-2</v>
      </c>
      <c r="MS57" s="1411">
        <f t="shared" ca="1" si="224"/>
        <v>3.9219946075209775E-4</v>
      </c>
      <c r="MT57" s="1411">
        <f t="shared" ca="1" si="225"/>
        <v>2.7495304918174437E-2</v>
      </c>
      <c r="MU57" s="1411">
        <f t="shared" ca="1" si="226"/>
        <v>1.1236702683145587E-4</v>
      </c>
      <c r="MV57" s="1411">
        <f t="shared" ca="1" si="227"/>
        <v>7.5712307123516426E-7</v>
      </c>
      <c r="MW57" s="1411">
        <f t="shared" ca="1" si="228"/>
        <v>3.9730172467512423E-9</v>
      </c>
      <c r="MX57" s="1411">
        <f t="shared" ca="1" si="229"/>
        <v>2.6426191796175354E-6</v>
      </c>
      <c r="MY57" s="1411">
        <f t="shared" ca="1" si="230"/>
        <v>1.1843397494357652E-5</v>
      </c>
      <c r="MZ57" s="1411">
        <f t="shared" ca="1" si="231"/>
        <v>1.5207223402691139E-5</v>
      </c>
      <c r="NA57" s="1411">
        <f t="shared" ca="1" si="232"/>
        <v>8.4108775773748226E-9</v>
      </c>
      <c r="NB57" s="1411">
        <f t="shared" ca="1" si="233"/>
        <v>1.2482849120832236E-6</v>
      </c>
      <c r="NC57" s="1411">
        <f t="shared" ca="1" si="234"/>
        <v>4.1337519036852452E-5</v>
      </c>
      <c r="ND57" s="1411">
        <f t="shared" ca="1" si="235"/>
        <v>1.2987862400761125E-2</v>
      </c>
      <c r="NE57" s="1411">
        <f t="shared" ca="1" si="236"/>
        <v>1.7805827971029672E-8</v>
      </c>
      <c r="NF57" s="1411">
        <f t="shared" ca="1" si="237"/>
        <v>1.0661086672938639E-3</v>
      </c>
      <c r="NG57" s="1411">
        <f t="shared" ca="1" si="238"/>
        <v>3.0544524715391647E-4</v>
      </c>
      <c r="NH57" s="1411">
        <f t="shared" ca="1" si="239"/>
        <v>7.877536750190553E-3</v>
      </c>
      <c r="NI57" s="1411">
        <f t="shared" ca="1" si="240"/>
        <v>9.2236472428316535E-6</v>
      </c>
      <c r="NJ57" s="1411">
        <f t="shared" ca="1" si="241"/>
        <v>4.1337519036852452E-5</v>
      </c>
      <c r="NK57" s="1411">
        <f t="shared" ca="1" si="242"/>
        <v>3.7210848787781674E-3</v>
      </c>
      <c r="NL57" s="1411">
        <f t="shared" ca="1" si="243"/>
        <v>1.6028295543826821E-6</v>
      </c>
      <c r="NM57" s="1411">
        <f t="shared" ca="1" si="244"/>
        <v>3.3931901932554239E-6</v>
      </c>
      <c r="NN57" s="1411">
        <f t="shared" ca="1" si="245"/>
        <v>3.3931901932554239E-6</v>
      </c>
      <c r="NO57" s="1411">
        <f t="shared" ca="1" si="246"/>
        <v>2.2863135679971618E-8</v>
      </c>
      <c r="NP57" s="1411">
        <f t="shared" ca="1" si="247"/>
        <v>8.4108775773748226E-9</v>
      </c>
      <c r="NQ57" s="1411">
        <f t="shared" ca="1" si="248"/>
        <v>1.1236702683145587E-4</v>
      </c>
      <c r="NR57" s="1411">
        <f t="shared" ca="1" si="249"/>
        <v>1.2482849120832236E-6</v>
      </c>
      <c r="NS57" s="1411">
        <f t="shared" ca="1" si="250"/>
        <v>6.5503980435772331E-9</v>
      </c>
      <c r="NT57" s="1411">
        <f t="shared" ca="1" si="251"/>
        <v>7.5712307123516426E-7</v>
      </c>
      <c r="NU57" s="1411">
        <f t="shared" ca="1" si="252"/>
        <v>2.7853001234399833E-7</v>
      </c>
      <c r="NV57" s="1411">
        <f t="shared" ca="1" si="253"/>
        <v>6.8154046914030113E-5</v>
      </c>
      <c r="NW57" s="1411">
        <f t="shared" ca="1" si="254"/>
        <v>7.5712307123516426E-7</v>
      </c>
      <c r="NX57" s="1411">
        <f t="shared" ca="1" si="255"/>
        <v>2.8979838174676004E-3</v>
      </c>
      <c r="NY57" s="1411">
        <f t="shared" ca="1" si="256"/>
        <v>7.877536750190553E-3</v>
      </c>
      <c r="NZ57" s="1411">
        <f t="shared" ca="1" si="257"/>
        <v>8.3028626492767307E-4</v>
      </c>
      <c r="OA57" s="1411">
        <f t="shared" ca="1" si="258"/>
        <v>2.9356847318263928E-8</v>
      </c>
      <c r="OB57" s="1411">
        <f t="shared" ca="1" si="259"/>
        <v>3.3931901932554239E-6</v>
      </c>
      <c r="OC57" s="1411">
        <f t="shared" ca="1" si="260"/>
        <v>1.1382884992024963E-9</v>
      </c>
      <c r="OD57" s="1411">
        <f t="shared" ca="1" si="261"/>
        <v>5.5944248471512964E-6</v>
      </c>
      <c r="OE57" s="1411">
        <f t="shared" ca="1" si="262"/>
        <v>2.7495304918174437E-2</v>
      </c>
      <c r="OF57" s="1411">
        <f t="shared" ca="1" si="263"/>
        <v>4.5921835587991934E-7</v>
      </c>
      <c r="OG57" s="1411">
        <f t="shared" ca="1" si="264"/>
        <v>9.5968043884416071E-2</v>
      </c>
      <c r="OH57" s="1411">
        <f t="shared" ca="1" si="265"/>
        <v>7.4739987727014179E-2</v>
      </c>
      <c r="OI57" s="1411">
        <f t="shared" ca="1" si="266"/>
        <v>1.0799780585998289E-8</v>
      </c>
      <c r="OJ57" s="1411">
        <f t="shared" ca="1" si="267"/>
        <v>3.9219946075209775E-4</v>
      </c>
      <c r="OK57" s="1411">
        <f t="shared" ca="1" si="268"/>
        <v>9.7216526702663441E-7</v>
      </c>
      <c r="OL57" s="1411">
        <f t="shared" ca="1" si="269"/>
        <v>7.5712307123516426E-7</v>
      </c>
      <c r="OM57" s="1411">
        <f t="shared" ca="1" si="270"/>
        <v>9.5968043884416071E-2</v>
      </c>
      <c r="ON57" s="1411">
        <f t="shared" ca="1" si="271"/>
        <v>1.1843397494357652E-5</v>
      </c>
      <c r="OO57" s="1411">
        <f t="shared" ca="1" si="272"/>
        <v>2.2569520663720264E-3</v>
      </c>
      <c r="OP57" s="1411">
        <f t="shared" ca="1" si="273"/>
        <v>9.5968043884416071E-2</v>
      </c>
      <c r="OQ57" s="1411">
        <f t="shared" ca="1" si="274"/>
        <v>7.1833836954916962E-6</v>
      </c>
      <c r="OR57" s="1411">
        <f t="shared" ca="1" si="275"/>
        <v>2.4097567717217016E-9</v>
      </c>
      <c r="OS57" s="1411">
        <f t="shared" ca="1" si="276"/>
        <v>3.2193692196129796E-5</v>
      </c>
      <c r="OT57" s="1411">
        <f t="shared" ca="1" si="277"/>
        <v>7.1833836954916962E-6</v>
      </c>
      <c r="OU57" s="1411">
        <f t="shared" ca="1" si="278"/>
        <v>1.6893699213677324E-7</v>
      </c>
      <c r="OV57" s="1411">
        <f t="shared" ca="1" si="279"/>
        <v>2.4097567717217016E-9</v>
      </c>
      <c r="OW57" s="1411">
        <f t="shared" ca="1" si="280"/>
        <v>1.0661086672938639E-3</v>
      </c>
      <c r="OX57" s="1411">
        <f t="shared" ca="1" si="281"/>
        <v>5.1014551257673477E-9</v>
      </c>
      <c r="OY57" s="1411">
        <f t="shared" ca="1" si="282"/>
        <v>1.3689106257564162E-3</v>
      </c>
      <c r="OZ57" s="1411">
        <f t="shared" ca="1" si="283"/>
        <v>2.7495304918174437E-2</v>
      </c>
      <c r="PA57" s="1411">
        <f t="shared" ca="1" si="284"/>
        <v>6.2148446260460486E-8</v>
      </c>
      <c r="PB57" s="1411">
        <f t="shared" ca="1" si="285"/>
        <v>8.3028626492767307E-4</v>
      </c>
      <c r="PC57" s="1411">
        <f t="shared" ca="1" si="286"/>
        <v>1.4428211844922276E-4</v>
      </c>
      <c r="PD57" s="1411">
        <f t="shared" ca="1" si="287"/>
        <v>2.4097567717217016E-9</v>
      </c>
      <c r="PE57" s="1411">
        <f t="shared" ca="1" si="288"/>
        <v>6.1350317897221722E-3</v>
      </c>
      <c r="PF57" s="1411">
        <f t="shared" ca="1" si="289"/>
        <v>1.7577160366451594E-3</v>
      </c>
      <c r="PG57" s="1411">
        <f t="shared" ca="1" si="290"/>
        <v>3.9219946075209775E-4</v>
      </c>
      <c r="PH57" s="1411">
        <f t="shared" ca="1" si="291"/>
        <v>4.5921835587991934E-7</v>
      </c>
      <c r="PI57" s="1411">
        <f t="shared" ca="1" si="292"/>
        <v>2.507247269230566E-5</v>
      </c>
      <c r="PJ57" s="1411">
        <f t="shared" ca="1" si="293"/>
        <v>2.6426191796175354E-6</v>
      </c>
      <c r="PK57" s="1411">
        <f t="shared" ca="1" si="294"/>
        <v>6.1350317897221722E-3</v>
      </c>
      <c r="PL57" s="1411">
        <f t="shared" ca="1" si="295"/>
        <v>7.1833836954916962E-6</v>
      </c>
      <c r="PM57" s="1411">
        <f t="shared" ca="1" si="296"/>
        <v>2.2569520663720264E-3</v>
      </c>
      <c r="PN57" s="1411">
        <f t="shared" ca="1" si="297"/>
        <v>7.1833836954916962E-6</v>
      </c>
      <c r="PO57" s="1411">
        <f t="shared" ca="1" si="298"/>
        <v>8.7511528487743391E-5</v>
      </c>
      <c r="PP57" s="1411">
        <f t="shared" ca="1" si="299"/>
        <v>2.507247269230566E-5</v>
      </c>
      <c r="PQ57" s="1411">
        <f t="shared" ca="1" si="300"/>
        <v>8.7511528487743391E-5</v>
      </c>
      <c r="PR57" s="1411">
        <f t="shared" ca="1" si="301"/>
        <v>6.1350317897221722E-3</v>
      </c>
      <c r="PS57" s="1411">
        <f t="shared" ca="1" si="302"/>
        <v>6.8154046914030113E-5</v>
      </c>
      <c r="PT57" s="1411">
        <f t="shared" ca="1" si="303"/>
        <v>3.0941889429260644E-9</v>
      </c>
      <c r="PU57" s="1411">
        <f t="shared" ca="1" si="304"/>
        <v>5.5944248471512964E-6</v>
      </c>
      <c r="PV57" s="1411">
        <f t="shared" ca="1" si="305"/>
        <v>5.1014551257673477E-9</v>
      </c>
      <c r="PW57" s="1411">
        <f t="shared" ca="1" si="306"/>
        <v>1.3156826176584677E-7</v>
      </c>
      <c r="PX57" s="1411">
        <f t="shared" ca="1" si="307"/>
        <v>1.9526461366304064E-5</v>
      </c>
      <c r="PY57" s="1411">
        <f t="shared" ca="1" si="308"/>
        <v>7.9800184606083486E-8</v>
      </c>
      <c r="PZ57" s="1412">
        <f t="shared" ca="1" si="309"/>
        <v>5.5944248471512964E-6</v>
      </c>
      <c r="QB57" s="33" t="s">
        <v>1072</v>
      </c>
      <c r="QC57" s="1432">
        <f t="shared" ca="1" si="336"/>
        <v>0.43750094223142577</v>
      </c>
      <c r="QD57" s="744">
        <f t="shared" ca="1" si="337"/>
        <v>0.11559105430640403</v>
      </c>
      <c r="QE57" s="1068">
        <f t="shared" ca="1" si="338"/>
        <v>0.44690800346217024</v>
      </c>
      <c r="QF57" s="744">
        <f t="shared" ca="1" si="339"/>
        <v>0.65335473961005541</v>
      </c>
      <c r="QG57" s="744">
        <f t="shared" ca="1" si="340"/>
        <v>0.24130726716123843</v>
      </c>
      <c r="QH57" s="1068">
        <f t="shared" ca="1" si="341"/>
        <v>0.10533799322870571</v>
      </c>
      <c r="QI57" s="744">
        <f t="shared" ca="1" si="342"/>
        <v>0.43026151002846658</v>
      </c>
      <c r="QJ57" s="1068">
        <f t="shared" ca="1" si="343"/>
        <v>0.5697384899715332</v>
      </c>
      <c r="QK57" s="744">
        <f t="shared" ca="1" si="344"/>
        <v>0.74729708936804795</v>
      </c>
      <c r="QL57" s="1068">
        <f t="shared" ca="1" si="345"/>
        <v>0.25270291063195177</v>
      </c>
      <c r="QM57" s="744">
        <f t="shared" ca="1" si="346"/>
        <v>0.41584487685256499</v>
      </c>
      <c r="QN57" s="1068">
        <f t="shared" ca="1" si="347"/>
        <v>0.58415512314743467</v>
      </c>
      <c r="QO57" s="744">
        <f t="shared" ca="1" si="348"/>
        <v>0.39876749882070395</v>
      </c>
      <c r="QP57" s="1068">
        <f t="shared" ca="1" si="349"/>
        <v>0.60123250117929561</v>
      </c>
      <c r="QR57" s="1432">
        <f t="shared" ca="1" si="350"/>
        <v>0.18279957976871308</v>
      </c>
      <c r="QS57" s="744">
        <f t="shared" ca="1" si="351"/>
        <v>0.17600236100093272</v>
      </c>
      <c r="QT57" s="744">
        <f t="shared" ca="1" si="352"/>
        <v>7.8699001461779758E-2</v>
      </c>
      <c r="QU57" s="743">
        <f t="shared" ca="1" si="353"/>
        <v>7.7705978442468543E-2</v>
      </c>
      <c r="QV57" s="744">
        <f t="shared" ca="1" si="354"/>
        <v>2.6086650961949738E-2</v>
      </c>
      <c r="QW57" s="744">
        <f t="shared" ca="1" si="355"/>
        <v>1.1798424901985736E-2</v>
      </c>
      <c r="QX57" s="743">
        <f t="shared" ca="1" si="356"/>
        <v>0.39284918139887404</v>
      </c>
      <c r="QY57" s="744">
        <f t="shared" ca="1" si="357"/>
        <v>3.9218255198355909E-2</v>
      </c>
      <c r="QZ57" s="745">
        <f t="shared" ca="1" si="358"/>
        <v>1.4840566864940227E-2</v>
      </c>
      <c r="RC57" s="744">
        <f t="shared" ca="1" si="359"/>
        <v>9.4023022967007472E-2</v>
      </c>
      <c r="RD57" s="744">
        <f t="shared" ca="1" si="360"/>
        <v>0.17569210026424789</v>
      </c>
      <c r="RE57" s="744">
        <f t="shared" ca="1" si="361"/>
        <v>1.1619518117197726E-4</v>
      </c>
      <c r="RF57" s="744">
        <f t="shared" ca="1" si="362"/>
        <v>7.3520631091268496E-2</v>
      </c>
      <c r="RG57" s="744">
        <f t="shared" ca="1" si="363"/>
        <v>1.1963017252343217E-2</v>
      </c>
      <c r="RH57" s="744">
        <f t="shared" ca="1" si="364"/>
        <v>1.1615582065833286E-2</v>
      </c>
      <c r="RI57" s="744">
        <f t="shared" ca="1" si="365"/>
        <v>0.1942514461020424</v>
      </c>
      <c r="RJ57" s="744">
        <f t="shared" ca="1" si="366"/>
        <v>8.4574061255532264E-3</v>
      </c>
      <c r="RK57" s="744">
        <f t="shared" ca="1" si="367"/>
        <v>9.9088922065077405E-5</v>
      </c>
      <c r="RL57" s="1251"/>
      <c r="RM57" s="744">
        <f t="shared" ca="1" si="368"/>
        <v>9.3788604326970434E-2</v>
      </c>
      <c r="RN57" s="744">
        <f t="shared" ca="1" si="369"/>
        <v>2.1482851801723497E-2</v>
      </c>
      <c r="RO57" s="744">
        <f t="shared" ca="1" si="370"/>
        <v>7.846495383410676E-2</v>
      </c>
      <c r="RP57" s="744">
        <f t="shared" ca="1" si="371"/>
        <v>4.1475861063908753E-3</v>
      </c>
      <c r="RQ57" s="744">
        <f t="shared" ca="1" si="372"/>
        <v>1.7824800481638873E-2</v>
      </c>
      <c r="RR57" s="744">
        <f t="shared" ca="1" si="373"/>
        <v>7.8214360571877037E-5</v>
      </c>
      <c r="RS57" s="744">
        <f t="shared" ca="1" si="374"/>
        <v>4.4050241821483045E-4</v>
      </c>
      <c r="RT57" s="744">
        <f t="shared" ca="1" si="375"/>
        <v>3.0114937728284691E-2</v>
      </c>
      <c r="RU57" s="744">
        <f t="shared" ca="1" si="376"/>
        <v>6.3604595740497927E-3</v>
      </c>
      <c r="RV57" s="744"/>
      <c r="RW57" s="744">
        <f t="shared" ca="1" si="377"/>
        <v>8.754886657876855E-2</v>
      </c>
      <c r="RX57" s="744">
        <f t="shared" ca="1" si="378"/>
        <v>0.17096610644338084</v>
      </c>
      <c r="RY57" s="744">
        <f t="shared" ca="1" si="379"/>
        <v>1.2346110132298654E-4</v>
      </c>
      <c r="RZ57" s="744">
        <f t="shared" ca="1" si="380"/>
        <v>2.8207480295038868E-2</v>
      </c>
      <c r="SA57" s="744">
        <f t="shared" ca="1" si="381"/>
        <v>1.1247307155776904E-3</v>
      </c>
      <c r="SB57" s="744">
        <f t="shared" ca="1" si="382"/>
        <v>8.8954664669237907E-3</v>
      </c>
      <c r="SC57" s="744">
        <f t="shared" ca="1" si="383"/>
        <v>0.26897413392644826</v>
      </c>
      <c r="SD57" s="744">
        <f t="shared" ca="1" si="384"/>
        <v>9.8169251003621776E-3</v>
      </c>
      <c r="SE57" s="744">
        <f t="shared" ca="1" si="385"/>
        <v>8.4979525196114698E-3</v>
      </c>
      <c r="SF57" s="744"/>
      <c r="SG57" s="744">
        <f t="shared" ca="1" si="386"/>
        <v>0.14540812592639646</v>
      </c>
      <c r="SH57" s="744">
        <f t="shared" ca="1" si="387"/>
        <v>7.4763596746712471E-2</v>
      </c>
      <c r="SI57" s="744">
        <f t="shared" ca="1" si="388"/>
        <v>7.4865010919251546E-2</v>
      </c>
      <c r="SJ57" s="744">
        <f t="shared" ca="1" si="389"/>
        <v>7.2987549463909285E-2</v>
      </c>
      <c r="SK57" s="744">
        <f t="shared" ca="1" si="390"/>
        <v>2.1994296865344806E-2</v>
      </c>
      <c r="SL57" s="744">
        <f t="shared" ca="1" si="391"/>
        <v>3.8074255632106059E-3</v>
      </c>
      <c r="SM57" s="744">
        <f t="shared" ca="1" si="392"/>
        <v>0.17112047660455609</v>
      </c>
      <c r="SN57" s="744">
        <f t="shared" ca="1" si="393"/>
        <v>3.0086418978251438E-2</v>
      </c>
      <c r="SO57" s="744">
        <f t="shared" ca="1" si="394"/>
        <v>6.1996001116629857E-3</v>
      </c>
      <c r="SP57" s="100"/>
      <c r="SQ57" s="114"/>
      <c r="SR57" s="806">
        <f t="shared" ca="1" si="395"/>
        <v>0.51435032337585229</v>
      </c>
      <c r="SS57" s="806">
        <f t="shared" ca="1" si="396"/>
        <v>0.99823717855305827</v>
      </c>
      <c r="ST57" s="806">
        <f t="shared" ca="1" si="397"/>
        <v>1.4764505141581443E-3</v>
      </c>
      <c r="SU57" s="806">
        <f t="shared" ca="1" si="398"/>
        <v>0.94613866995705143</v>
      </c>
      <c r="SV57" s="806">
        <f t="shared" ca="1" si="399"/>
        <v>0.45858769950165695</v>
      </c>
      <c r="SW57" s="806">
        <f t="shared" ca="1" si="400"/>
        <v>0.98450277577969947</v>
      </c>
      <c r="SX57" s="806">
        <f t="shared" ca="1" si="401"/>
        <v>0.4944682471027268</v>
      </c>
      <c r="SY57" s="806">
        <f t="shared" ca="1" si="402"/>
        <v>0.2156497295144271</v>
      </c>
      <c r="SZ57" s="806">
        <f t="shared" ca="1" si="403"/>
        <v>6.6768960354990125E-3</v>
      </c>
      <c r="TA57" s="806"/>
      <c r="TB57" s="806">
        <f t="shared" ca="1" si="404"/>
        <v>0.5130679427471132</v>
      </c>
      <c r="TC57" s="806">
        <f t="shared" ca="1" si="405"/>
        <v>0.12206002055625634</v>
      </c>
      <c r="TD57" s="806">
        <f t="shared" ca="1" si="406"/>
        <v>0.99702604069523471</v>
      </c>
      <c r="TE57" s="806">
        <f t="shared" ca="1" si="407"/>
        <v>5.3375379726562977E-2</v>
      </c>
      <c r="TF57" s="806">
        <f t="shared" ca="1" si="408"/>
        <v>0.68329202194786576</v>
      </c>
      <c r="TG57" s="806">
        <f t="shared" ca="1" si="409"/>
        <v>6.6292205291498827E-3</v>
      </c>
      <c r="TH57" s="806">
        <f t="shared" ca="1" si="410"/>
        <v>1.1213016065001605E-3</v>
      </c>
      <c r="TI57" s="806">
        <f t="shared" ca="1" si="411"/>
        <v>0.76788061008759911</v>
      </c>
      <c r="TJ57" s="806">
        <f t="shared" ca="1" si="412"/>
        <v>0.42858602585295591</v>
      </c>
      <c r="TK57" s="806"/>
      <c r="TL57" s="806">
        <f t="shared" ca="1" si="413"/>
        <v>0.47893363151895446</v>
      </c>
      <c r="TM57" s="806">
        <f t="shared" ca="1" si="414"/>
        <v>0.97138530114647048</v>
      </c>
      <c r="TN57" s="806">
        <f t="shared" ca="1" si="415"/>
        <v>1.5687759568708828E-3</v>
      </c>
      <c r="TO57" s="806">
        <f t="shared" ca="1" si="416"/>
        <v>0.3630027040444892</v>
      </c>
      <c r="TP57" s="806">
        <f t="shared" ca="1" si="417"/>
        <v>4.3115182444010712E-2</v>
      </c>
      <c r="TQ57" s="806">
        <f t="shared" ca="1" si="418"/>
        <v>0.75395373033451585</v>
      </c>
      <c r="TR57" s="806">
        <f t="shared" ca="1" si="419"/>
        <v>0.68467530712084912</v>
      </c>
      <c r="TS57" s="806">
        <f t="shared" ca="1" si="420"/>
        <v>0.25031519252222417</v>
      </c>
      <c r="TT57" s="806">
        <f t="shared" ca="1" si="421"/>
        <v>0.57261643688876007</v>
      </c>
      <c r="TU57" s="806"/>
      <c r="TV57" s="806">
        <f t="shared" ca="1" si="422"/>
        <v>0.79545109518508683</v>
      </c>
      <c r="TW57" s="806">
        <f t="shared" ca="1" si="313"/>
        <v>0.42478746490404334</v>
      </c>
      <c r="TX57" s="806">
        <f t="shared" ca="1" si="314"/>
        <v>0.95128285656343181</v>
      </c>
      <c r="TY57" s="806">
        <f t="shared" ca="1" si="315"/>
        <v>0.9392784303970555</v>
      </c>
      <c r="TZ57" s="806">
        <f t="shared" ca="1" si="316"/>
        <v>0.84312458879546925</v>
      </c>
      <c r="UA57" s="806">
        <f t="shared" ca="1" si="317"/>
        <v>0.32270625908461698</v>
      </c>
      <c r="UB57" s="806">
        <f t="shared" ca="1" si="318"/>
        <v>0.43558822241966505</v>
      </c>
      <c r="UC57" s="806">
        <f t="shared" ca="1" si="319"/>
        <v>0.76715342959756938</v>
      </c>
      <c r="UD57" s="1439">
        <f t="shared" ca="1" si="320"/>
        <v>0.41774685347829238</v>
      </c>
    </row>
    <row r="58" spans="3:551" s="7" customFormat="1" x14ac:dyDescent="0.25">
      <c r="C58" s="21"/>
      <c r="D58" s="1308">
        <v>44033</v>
      </c>
      <c r="E58" s="233">
        <f t="shared" ca="1" si="321"/>
        <v>68</v>
      </c>
      <c r="F58" s="1392">
        <f t="shared" ca="1" si="321"/>
        <v>62</v>
      </c>
      <c r="G58" s="1392">
        <f t="shared" ca="1" si="321"/>
        <v>8</v>
      </c>
      <c r="H58" s="1392">
        <f t="shared" ca="1" si="321"/>
        <v>8</v>
      </c>
      <c r="I58" s="1392">
        <f t="shared" ca="1" si="321"/>
        <v>54</v>
      </c>
      <c r="J58" s="1392">
        <f t="shared" ca="1" si="321"/>
        <v>77</v>
      </c>
      <c r="K58" s="1392">
        <f t="shared" ca="1" si="321"/>
        <v>68</v>
      </c>
      <c r="L58" s="1392">
        <f t="shared" ca="1" si="321"/>
        <v>72</v>
      </c>
      <c r="M58" s="1392">
        <f t="shared" ca="1" si="321"/>
        <v>8</v>
      </c>
      <c r="N58" s="1392">
        <f t="shared" ca="1" si="321"/>
        <v>56</v>
      </c>
      <c r="O58" s="1392">
        <f t="shared" ca="1" si="322"/>
        <v>58</v>
      </c>
      <c r="P58" s="1392">
        <f t="shared" ca="1" si="322"/>
        <v>49</v>
      </c>
      <c r="Q58" s="1392">
        <f t="shared" ca="1" si="322"/>
        <v>35</v>
      </c>
      <c r="R58" s="1392">
        <f t="shared" ca="1" si="322"/>
        <v>18</v>
      </c>
      <c r="S58" s="1392">
        <f t="shared" ca="1" si="322"/>
        <v>72</v>
      </c>
      <c r="T58" s="1392">
        <f t="shared" ca="1" si="322"/>
        <v>58</v>
      </c>
      <c r="U58" s="1392">
        <f t="shared" ca="1" si="322"/>
        <v>64</v>
      </c>
      <c r="V58" s="1392">
        <f t="shared" ca="1" si="322"/>
        <v>59</v>
      </c>
      <c r="W58" s="1392">
        <f t="shared" ca="1" si="322"/>
        <v>45</v>
      </c>
      <c r="X58" s="1392">
        <f t="shared" ca="1" si="322"/>
        <v>68</v>
      </c>
      <c r="Y58" s="1392">
        <f t="shared" ca="1" si="323"/>
        <v>36</v>
      </c>
      <c r="Z58" s="1392">
        <f t="shared" ca="1" si="323"/>
        <v>5</v>
      </c>
      <c r="AA58" s="1392">
        <f t="shared" ca="1" si="323"/>
        <v>78</v>
      </c>
      <c r="AB58" s="1392">
        <f t="shared" ca="1" si="323"/>
        <v>32</v>
      </c>
      <c r="AC58" s="1392">
        <f t="shared" ca="1" si="323"/>
        <v>41</v>
      </c>
      <c r="AD58" s="1392">
        <f t="shared" ca="1" si="323"/>
        <v>29</v>
      </c>
      <c r="AE58" s="1392">
        <f t="shared" ca="1" si="323"/>
        <v>69</v>
      </c>
      <c r="AF58" s="1392">
        <f t="shared" ca="1" si="323"/>
        <v>46</v>
      </c>
      <c r="AG58" s="1392">
        <f t="shared" ca="1" si="323"/>
        <v>9</v>
      </c>
      <c r="AH58" s="1392">
        <f t="shared" ca="1" si="323"/>
        <v>54</v>
      </c>
      <c r="AI58" s="1392">
        <f t="shared" ca="1" si="324"/>
        <v>24</v>
      </c>
      <c r="AJ58" s="1392">
        <f t="shared" ca="1" si="324"/>
        <v>78</v>
      </c>
      <c r="AK58" s="1392">
        <f t="shared" ca="1" si="324"/>
        <v>36</v>
      </c>
      <c r="AL58" s="1392">
        <f t="shared" ca="1" si="324"/>
        <v>61</v>
      </c>
      <c r="AM58" s="1392">
        <f t="shared" ca="1" si="324"/>
        <v>21</v>
      </c>
      <c r="AN58" s="1392">
        <f t="shared" ca="1" si="324"/>
        <v>78</v>
      </c>
      <c r="AO58" s="1392">
        <f t="shared" ca="1" si="324"/>
        <v>5</v>
      </c>
      <c r="AP58" s="1392">
        <f t="shared" ca="1" si="324"/>
        <v>31</v>
      </c>
      <c r="AQ58" s="1392">
        <f t="shared" ca="1" si="324"/>
        <v>5</v>
      </c>
      <c r="AR58" s="1392">
        <f t="shared" ca="1" si="324"/>
        <v>67</v>
      </c>
      <c r="AS58" s="1392">
        <f t="shared" ca="1" si="325"/>
        <v>72</v>
      </c>
      <c r="AT58" s="1392">
        <f t="shared" ca="1" si="325"/>
        <v>33</v>
      </c>
      <c r="AU58" s="1392">
        <f t="shared" ca="1" si="325"/>
        <v>77</v>
      </c>
      <c r="AV58" s="1392">
        <f t="shared" ca="1" si="325"/>
        <v>43</v>
      </c>
      <c r="AW58" s="1392">
        <f t="shared" ca="1" si="325"/>
        <v>9</v>
      </c>
      <c r="AX58" s="1392">
        <f t="shared" ca="1" si="325"/>
        <v>25</v>
      </c>
      <c r="AY58" s="1392">
        <f t="shared" ca="1" si="325"/>
        <v>22</v>
      </c>
      <c r="AZ58" s="1392">
        <f t="shared" ca="1" si="325"/>
        <v>31</v>
      </c>
      <c r="BA58" s="1392">
        <f t="shared" ca="1" si="325"/>
        <v>11</v>
      </c>
      <c r="BB58" s="1392">
        <f t="shared" ca="1" si="325"/>
        <v>27</v>
      </c>
      <c r="BC58" s="1392">
        <f t="shared" ca="1" si="326"/>
        <v>67</v>
      </c>
      <c r="BD58" s="1392">
        <f t="shared" ca="1" si="326"/>
        <v>80</v>
      </c>
      <c r="BE58" s="1392">
        <f t="shared" ca="1" si="326"/>
        <v>38</v>
      </c>
      <c r="BF58" s="1392">
        <f t="shared" ca="1" si="326"/>
        <v>62</v>
      </c>
      <c r="BG58" s="1392">
        <f t="shared" ca="1" si="326"/>
        <v>66</v>
      </c>
      <c r="BH58" s="1392">
        <f t="shared" ca="1" si="326"/>
        <v>40</v>
      </c>
      <c r="BI58" s="1392">
        <f t="shared" ca="1" si="326"/>
        <v>58</v>
      </c>
      <c r="BJ58" s="1392">
        <f t="shared" ca="1" si="326"/>
        <v>41</v>
      </c>
      <c r="BK58" s="1392">
        <f t="shared" ca="1" si="326"/>
        <v>70</v>
      </c>
      <c r="BL58" s="1392">
        <f t="shared" ca="1" si="326"/>
        <v>79</v>
      </c>
      <c r="BM58" s="1392">
        <f t="shared" ca="1" si="327"/>
        <v>65</v>
      </c>
      <c r="BN58" s="1392">
        <f t="shared" ca="1" si="327"/>
        <v>5</v>
      </c>
      <c r="BO58" s="1392">
        <f t="shared" ca="1" si="327"/>
        <v>20</v>
      </c>
      <c r="BP58" s="1392">
        <f t="shared" ca="1" si="327"/>
        <v>78</v>
      </c>
      <c r="BQ58" s="1392">
        <f t="shared" ca="1" si="327"/>
        <v>39</v>
      </c>
      <c r="BR58" s="1392">
        <f t="shared" ca="1" si="327"/>
        <v>7</v>
      </c>
      <c r="BS58" s="1392">
        <f t="shared" ca="1" si="327"/>
        <v>51</v>
      </c>
      <c r="BT58" s="1392">
        <f t="shared" ca="1" si="327"/>
        <v>67</v>
      </c>
      <c r="BU58" s="1392">
        <f t="shared" ca="1" si="327"/>
        <v>54</v>
      </c>
      <c r="BV58" s="1392">
        <f t="shared" ca="1" si="327"/>
        <v>73</v>
      </c>
      <c r="BW58" s="1392">
        <f t="shared" ca="1" si="328"/>
        <v>23</v>
      </c>
      <c r="BX58" s="1392">
        <f t="shared" ca="1" si="328"/>
        <v>42</v>
      </c>
      <c r="BY58" s="1392">
        <f t="shared" ca="1" si="328"/>
        <v>39</v>
      </c>
      <c r="BZ58" s="1392">
        <f t="shared" ca="1" si="328"/>
        <v>26</v>
      </c>
      <c r="CA58" s="1392">
        <f t="shared" ca="1" si="328"/>
        <v>48</v>
      </c>
      <c r="CB58" s="1392">
        <f t="shared" ca="1" si="328"/>
        <v>27</v>
      </c>
      <c r="CC58" s="1392">
        <f t="shared" ca="1" si="328"/>
        <v>27</v>
      </c>
      <c r="CD58" s="1392">
        <f t="shared" ca="1" si="328"/>
        <v>60</v>
      </c>
      <c r="CE58" s="1392">
        <f t="shared" ca="1" si="328"/>
        <v>28</v>
      </c>
      <c r="CF58" s="1392">
        <f t="shared" ca="1" si="328"/>
        <v>27</v>
      </c>
      <c r="CG58" s="1392">
        <f t="shared" ca="1" si="329"/>
        <v>17</v>
      </c>
      <c r="CH58" s="1392">
        <f t="shared" ca="1" si="329"/>
        <v>20</v>
      </c>
      <c r="CI58" s="1392">
        <f t="shared" ca="1" si="329"/>
        <v>19</v>
      </c>
      <c r="CJ58" s="1392">
        <f t="shared" ca="1" si="329"/>
        <v>19</v>
      </c>
      <c r="CK58" s="1392">
        <f t="shared" ca="1" si="329"/>
        <v>77</v>
      </c>
      <c r="CL58" s="1392">
        <f t="shared" ca="1" si="329"/>
        <v>30</v>
      </c>
      <c r="CM58" s="1392">
        <f t="shared" ca="1" si="329"/>
        <v>77</v>
      </c>
      <c r="CN58" s="1392">
        <f t="shared" ca="1" si="329"/>
        <v>25</v>
      </c>
      <c r="CO58" s="1392">
        <f t="shared" ca="1" si="329"/>
        <v>35</v>
      </c>
      <c r="CP58" s="1392">
        <f t="shared" ca="1" si="329"/>
        <v>14</v>
      </c>
      <c r="CQ58" s="1392">
        <f t="shared" ca="1" si="330"/>
        <v>16</v>
      </c>
      <c r="CR58" s="1392">
        <f t="shared" ca="1" si="330"/>
        <v>47</v>
      </c>
      <c r="CS58" s="1392">
        <f t="shared" ca="1" si="330"/>
        <v>47</v>
      </c>
      <c r="CT58" s="1392">
        <f t="shared" ca="1" si="330"/>
        <v>19</v>
      </c>
      <c r="CU58" s="1392">
        <f t="shared" ca="1" si="330"/>
        <v>67</v>
      </c>
      <c r="CV58" s="1392">
        <f t="shared" ca="1" si="330"/>
        <v>69</v>
      </c>
      <c r="CW58" s="1392">
        <f t="shared" ca="1" si="330"/>
        <v>71</v>
      </c>
      <c r="CX58" s="1392">
        <f t="shared" ca="1" si="330"/>
        <v>9</v>
      </c>
      <c r="CY58" s="1392">
        <f t="shared" ca="1" si="330"/>
        <v>22</v>
      </c>
      <c r="CZ58" s="1392">
        <f t="shared" ca="1" si="330"/>
        <v>34</v>
      </c>
      <c r="DA58" s="1392">
        <f t="shared" ca="1" si="331"/>
        <v>39</v>
      </c>
      <c r="DB58" s="1392">
        <f t="shared" ca="1" si="331"/>
        <v>15</v>
      </c>
      <c r="DC58" s="1392">
        <f t="shared" ca="1" si="331"/>
        <v>62</v>
      </c>
      <c r="DD58" s="1392">
        <f t="shared" ca="1" si="331"/>
        <v>72</v>
      </c>
      <c r="DE58" s="1392">
        <f t="shared" ca="1" si="331"/>
        <v>76</v>
      </c>
      <c r="DF58" s="1392">
        <f t="shared" ca="1" si="331"/>
        <v>79</v>
      </c>
      <c r="DG58" s="1392">
        <f t="shared" ca="1" si="331"/>
        <v>58</v>
      </c>
      <c r="DH58" s="1392">
        <f t="shared" ca="1" si="331"/>
        <v>75</v>
      </c>
      <c r="DI58" s="1392">
        <f t="shared" ca="1" si="331"/>
        <v>47</v>
      </c>
      <c r="DJ58" s="1392">
        <f t="shared" ca="1" si="331"/>
        <v>29</v>
      </c>
      <c r="DK58" s="1392">
        <f t="shared" ca="1" si="332"/>
        <v>8</v>
      </c>
      <c r="DL58" s="1392">
        <f t="shared" ca="1" si="332"/>
        <v>11</v>
      </c>
      <c r="DM58" s="1392">
        <f t="shared" ca="1" si="332"/>
        <v>23</v>
      </c>
      <c r="DN58" s="1392">
        <f t="shared" ca="1" si="332"/>
        <v>80</v>
      </c>
      <c r="DO58" s="1392">
        <f t="shared" ca="1" si="332"/>
        <v>35</v>
      </c>
      <c r="DP58" s="1392">
        <f t="shared" ca="1" si="332"/>
        <v>77</v>
      </c>
      <c r="DQ58" s="1392">
        <f t="shared" ca="1" si="332"/>
        <v>20</v>
      </c>
      <c r="DR58" s="1392">
        <f t="shared" ca="1" si="332"/>
        <v>80</v>
      </c>
      <c r="DS58" s="1392">
        <f t="shared" ca="1" si="332"/>
        <v>67</v>
      </c>
      <c r="DT58" s="1392">
        <f t="shared" ca="1" si="332"/>
        <v>77</v>
      </c>
      <c r="DU58" s="1392">
        <f t="shared" ca="1" si="333"/>
        <v>55</v>
      </c>
      <c r="DV58" s="1392">
        <f t="shared" ca="1" si="333"/>
        <v>12</v>
      </c>
      <c r="DW58" s="1392">
        <f t="shared" ca="1" si="333"/>
        <v>22</v>
      </c>
      <c r="DX58" s="1392">
        <f t="shared" ca="1" si="333"/>
        <v>76</v>
      </c>
      <c r="DY58" s="1392">
        <f t="shared" ca="1" si="333"/>
        <v>71</v>
      </c>
      <c r="DZ58" s="1392">
        <f t="shared" ca="1" si="333"/>
        <v>26</v>
      </c>
      <c r="EA58" s="1392">
        <f t="shared" ca="1" si="333"/>
        <v>79</v>
      </c>
      <c r="EB58" s="1392">
        <f t="shared" ca="1" si="333"/>
        <v>23</v>
      </c>
      <c r="EC58" s="1392">
        <f t="shared" ca="1" si="333"/>
        <v>69</v>
      </c>
      <c r="ED58" s="1392">
        <f t="shared" ca="1" si="333"/>
        <v>8</v>
      </c>
      <c r="EE58" s="1392">
        <f t="shared" ca="1" si="334"/>
        <v>59</v>
      </c>
      <c r="EF58" s="1392">
        <f t="shared" ca="1" si="334"/>
        <v>59</v>
      </c>
      <c r="EG58" s="1392">
        <f t="shared" ca="1" si="334"/>
        <v>79</v>
      </c>
      <c r="EH58" s="1392">
        <f t="shared" ca="1" si="334"/>
        <v>37</v>
      </c>
      <c r="EI58" s="1392">
        <f t="shared" ca="1" si="334"/>
        <v>64</v>
      </c>
      <c r="EJ58" s="1392">
        <f t="shared" ca="1" si="334"/>
        <v>11</v>
      </c>
      <c r="EK58" s="1392">
        <f t="shared" ca="1" si="334"/>
        <v>75</v>
      </c>
      <c r="EL58" s="1392">
        <f t="shared" ca="1" si="334"/>
        <v>52</v>
      </c>
      <c r="EM58" s="1392">
        <f t="shared" ca="1" si="334"/>
        <v>18</v>
      </c>
      <c r="EN58" s="1392">
        <f t="shared" ca="1" si="334"/>
        <v>76</v>
      </c>
      <c r="EO58" s="1392">
        <f t="shared" ca="1" si="334"/>
        <v>72</v>
      </c>
      <c r="EP58" s="1392">
        <f t="shared" ca="1" si="334"/>
        <v>42</v>
      </c>
      <c r="EQ58" s="1392">
        <f t="shared" ca="1" si="334"/>
        <v>56</v>
      </c>
      <c r="ER58" s="1393">
        <f t="shared" ca="1" si="334"/>
        <v>70</v>
      </c>
      <c r="ES58" s="377"/>
      <c r="ET58" s="316">
        <f t="shared" ca="1" si="335"/>
        <v>24154952.753575299</v>
      </c>
      <c r="EU58" s="1392">
        <f t="shared" ca="1" si="20"/>
        <v>5389698.476283012</v>
      </c>
      <c r="EV58" s="1392">
        <f t="shared" ca="1" si="21"/>
        <v>7.3890560989306504</v>
      </c>
      <c r="EW58" s="1392">
        <f t="shared" ca="1" si="22"/>
        <v>7.3890560989306504</v>
      </c>
      <c r="EX58" s="1392">
        <f t="shared" ca="1" si="23"/>
        <v>729416.36984770128</v>
      </c>
      <c r="EY58" s="1392">
        <f t="shared" ca="1" si="24"/>
        <v>229175810.86564341</v>
      </c>
      <c r="EZ58" s="1392">
        <f t="shared" ca="1" si="25"/>
        <v>24154952.753575299</v>
      </c>
      <c r="FA58" s="1392">
        <f t="shared" ca="1" si="26"/>
        <v>65659969.13733051</v>
      </c>
      <c r="FB58" s="1392">
        <f t="shared" ca="1" si="27"/>
        <v>7.3890560989306504</v>
      </c>
      <c r="FC58" s="1392">
        <f t="shared" ca="1" si="28"/>
        <v>1202604.2841647768</v>
      </c>
      <c r="FD58" s="1392">
        <f t="shared" ca="1" si="29"/>
        <v>1982759.2635375687</v>
      </c>
      <c r="FE58" s="1392">
        <f t="shared" ca="1" si="30"/>
        <v>208981.28886971297</v>
      </c>
      <c r="FF58" s="1392">
        <f t="shared" ca="1" si="31"/>
        <v>6310.6881080890244</v>
      </c>
      <c r="FG58" s="1392">
        <f t="shared" ca="1" si="32"/>
        <v>90.017131300521811</v>
      </c>
      <c r="FH58" s="1392">
        <f t="shared" ca="1" si="33"/>
        <v>65659969.13733051</v>
      </c>
      <c r="FI58" s="1392">
        <f t="shared" ca="1" si="34"/>
        <v>1982759.2635375687</v>
      </c>
      <c r="FJ58" s="1392">
        <f t="shared" ca="1" si="35"/>
        <v>8886110.5205078721</v>
      </c>
      <c r="FK58" s="1392">
        <f t="shared" ca="1" si="36"/>
        <v>2545913.2895553061</v>
      </c>
      <c r="FL58" s="1392">
        <f t="shared" ca="1" si="37"/>
        <v>76879.919764677761</v>
      </c>
      <c r="FM58" s="1392">
        <f t="shared" ca="1" si="38"/>
        <v>24154952.753575299</v>
      </c>
      <c r="FN58" s="1392">
        <f t="shared" ca="1" si="39"/>
        <v>8103.0839275753842</v>
      </c>
      <c r="FO58" s="1392">
        <f t="shared" ca="1" si="40"/>
        <v>3.4903429574618414</v>
      </c>
      <c r="FP58" s="1392">
        <f t="shared" ca="1" si="41"/>
        <v>294267566.04150879</v>
      </c>
      <c r="FQ58" s="1392">
        <f t="shared" ca="1" si="42"/>
        <v>2980.9579870417283</v>
      </c>
      <c r="FR58" s="1392">
        <f t="shared" ca="1" si="43"/>
        <v>28282.541920334977</v>
      </c>
      <c r="FS58" s="1392">
        <f t="shared" ca="1" si="44"/>
        <v>1408.1048482046956</v>
      </c>
      <c r="FT58" s="1392">
        <f t="shared" ca="1" si="45"/>
        <v>31015573.274482232</v>
      </c>
      <c r="FU58" s="1392">
        <f t="shared" ca="1" si="46"/>
        <v>98715.771010760494</v>
      </c>
      <c r="FV58" s="1392">
        <f t="shared" ca="1" si="47"/>
        <v>9.4877358363585262</v>
      </c>
      <c r="FW58" s="1392">
        <f t="shared" ca="1" si="48"/>
        <v>729416.36984770128</v>
      </c>
      <c r="FX58" s="1392">
        <f t="shared" ca="1" si="49"/>
        <v>403.42879349273511</v>
      </c>
      <c r="FY58" s="1392">
        <f t="shared" ca="1" si="50"/>
        <v>294267566.04150879</v>
      </c>
      <c r="FZ58" s="1392">
        <f t="shared" ca="1" si="51"/>
        <v>8103.0839275753842</v>
      </c>
      <c r="GA58" s="1392">
        <f t="shared" ca="1" si="52"/>
        <v>4197501.3938479675</v>
      </c>
      <c r="GB58" s="1392">
        <f t="shared" ca="1" si="53"/>
        <v>190.56626845862999</v>
      </c>
      <c r="GC58" s="1392">
        <f t="shared" ca="1" si="54"/>
        <v>294267566.04150879</v>
      </c>
      <c r="GD58" s="1392">
        <f t="shared" ca="1" si="55"/>
        <v>3.4903429574618414</v>
      </c>
      <c r="GE58" s="1392">
        <f t="shared" ca="1" si="56"/>
        <v>2321.572414611057</v>
      </c>
      <c r="GF58" s="1392">
        <f t="shared" ca="1" si="57"/>
        <v>3.4903429574618414</v>
      </c>
      <c r="GG58" s="1392">
        <f t="shared" ca="1" si="58"/>
        <v>18811896.119537231</v>
      </c>
      <c r="GH58" s="1392">
        <f t="shared" ca="1" si="59"/>
        <v>65659969.13733051</v>
      </c>
      <c r="GI58" s="1392">
        <f t="shared" ca="1" si="60"/>
        <v>3827.6258214399063</v>
      </c>
      <c r="GJ58" s="1392">
        <f t="shared" ca="1" si="61"/>
        <v>229175810.86564341</v>
      </c>
      <c r="GK58" s="1392">
        <f t="shared" ca="1" si="62"/>
        <v>46630.028453524326</v>
      </c>
      <c r="GL58" s="1392">
        <f t="shared" ca="1" si="63"/>
        <v>9.4877358363585262</v>
      </c>
      <c r="GM58" s="1392">
        <f t="shared" ca="1" si="64"/>
        <v>518.01282466834198</v>
      </c>
      <c r="GN58" s="1392">
        <f t="shared" ca="1" si="65"/>
        <v>244.69193226422038</v>
      </c>
      <c r="GO58" s="1392">
        <f t="shared" ca="1" si="66"/>
        <v>2321.572414611057</v>
      </c>
      <c r="GP58" s="1392">
        <f t="shared" ca="1" si="67"/>
        <v>15.642631884188171</v>
      </c>
      <c r="GQ58" s="1392">
        <f t="shared" ca="1" si="68"/>
        <v>854.05876252615155</v>
      </c>
      <c r="GR58" s="1392">
        <f t="shared" ca="1" si="69"/>
        <v>18811896.119537231</v>
      </c>
      <c r="GS58" s="1392">
        <f t="shared" ca="1" si="70"/>
        <v>485165195.40979028</v>
      </c>
      <c r="GT58" s="1392">
        <f t="shared" ca="1" si="71"/>
        <v>13359.726829661873</v>
      </c>
      <c r="GU58" s="1392">
        <f t="shared" ca="1" si="72"/>
        <v>5389698.476283012</v>
      </c>
      <c r="GV58" s="1392">
        <f t="shared" ca="1" si="73"/>
        <v>14650719.428953517</v>
      </c>
      <c r="GW58" s="1392">
        <f t="shared" ca="1" si="74"/>
        <v>22026.465794806718</v>
      </c>
      <c r="GX58" s="1392">
        <f t="shared" ca="1" si="75"/>
        <v>1982759.2635375687</v>
      </c>
      <c r="GY58" s="1392">
        <f t="shared" ca="1" si="76"/>
        <v>28282.541920334977</v>
      </c>
      <c r="GZ58" s="1392">
        <f t="shared" ca="1" si="77"/>
        <v>39824784.397576228</v>
      </c>
      <c r="HA58" s="1392">
        <f t="shared" ca="1" si="78"/>
        <v>377847034.10413581</v>
      </c>
      <c r="HB58" s="1392">
        <f t="shared" ca="1" si="79"/>
        <v>11409991.763828445</v>
      </c>
      <c r="HC58" s="1392">
        <f t="shared" ca="1" si="80"/>
        <v>3.4903429574618414</v>
      </c>
      <c r="HD58" s="1392">
        <f t="shared" ca="1" si="81"/>
        <v>148.4131591025766</v>
      </c>
      <c r="HE58" s="1392">
        <f t="shared" ca="1" si="82"/>
        <v>294267566.04150879</v>
      </c>
      <c r="HF58" s="1392">
        <f t="shared" ca="1" si="83"/>
        <v>17154.228809290984</v>
      </c>
      <c r="HG58" s="1392">
        <f t="shared" ca="1" si="84"/>
        <v>5.7546026760057307</v>
      </c>
      <c r="HH58" s="1392">
        <f t="shared" ca="1" si="85"/>
        <v>344551.8961378237</v>
      </c>
      <c r="HI58" s="1392">
        <f t="shared" ca="1" si="86"/>
        <v>18811896.119537231</v>
      </c>
      <c r="HJ58" s="1392">
        <f t="shared" ca="1" si="87"/>
        <v>729416.36984770128</v>
      </c>
      <c r="HK58" s="1392">
        <f t="shared" ca="1" si="88"/>
        <v>84309069.231265053</v>
      </c>
      <c r="HL58" s="1392">
        <f t="shared" ca="1" si="89"/>
        <v>314.19066028569421</v>
      </c>
      <c r="HM58" s="1392">
        <f t="shared" ca="1" si="90"/>
        <v>36315.502674246636</v>
      </c>
      <c r="HN58" s="1392">
        <f t="shared" ca="1" si="91"/>
        <v>17154.228809290984</v>
      </c>
      <c r="HO58" s="1392">
        <f t="shared" ca="1" si="92"/>
        <v>665.14163304436181</v>
      </c>
      <c r="HP58" s="1392">
        <f t="shared" ca="1" si="93"/>
        <v>162754.79141900392</v>
      </c>
      <c r="HQ58" s="1392">
        <f t="shared" ca="1" si="94"/>
        <v>854.05876252615155</v>
      </c>
      <c r="HR58" s="1392">
        <f t="shared" ca="1" si="95"/>
        <v>854.05876252615155</v>
      </c>
      <c r="HS58" s="1392">
        <f t="shared" ca="1" si="96"/>
        <v>3269017.3724721107</v>
      </c>
      <c r="HT58" s="1392">
        <f t="shared" ca="1" si="97"/>
        <v>1096.6331584284585</v>
      </c>
      <c r="HU58" s="1392">
        <f t="shared" ca="1" si="98"/>
        <v>854.05876252615155</v>
      </c>
      <c r="HV58" s="1392">
        <f t="shared" ca="1" si="99"/>
        <v>70.105412346687856</v>
      </c>
      <c r="HW58" s="1392">
        <f t="shared" ca="1" si="100"/>
        <v>148.4131591025766</v>
      </c>
      <c r="HX58" s="1392">
        <f t="shared" ca="1" si="101"/>
        <v>115.58428452718766</v>
      </c>
      <c r="HY58" s="1392">
        <f t="shared" ca="1" si="102"/>
        <v>115.58428452718766</v>
      </c>
      <c r="HZ58" s="1392">
        <f t="shared" ca="1" si="103"/>
        <v>229175810.86564341</v>
      </c>
      <c r="IA58" s="1392">
        <f t="shared" ca="1" si="104"/>
        <v>1808.0424144560632</v>
      </c>
      <c r="IB58" s="1392">
        <f t="shared" ca="1" si="105"/>
        <v>229175810.86564341</v>
      </c>
      <c r="IC58" s="1392">
        <f t="shared" ca="1" si="106"/>
        <v>518.01282466834198</v>
      </c>
      <c r="ID58" s="1392">
        <f t="shared" ca="1" si="107"/>
        <v>6310.6881080890244</v>
      </c>
      <c r="IE58" s="1392">
        <f t="shared" ca="1" si="108"/>
        <v>33.115451958692312</v>
      </c>
      <c r="IF58" s="1392">
        <f t="shared" ca="1" si="109"/>
        <v>54.598150033144236</v>
      </c>
      <c r="IG58" s="1392">
        <f t="shared" ca="1" si="110"/>
        <v>126753.55900574342</v>
      </c>
      <c r="IH58" s="1392">
        <f t="shared" ca="1" si="111"/>
        <v>126753.55900574342</v>
      </c>
      <c r="II58" s="1392">
        <f t="shared" ca="1" si="112"/>
        <v>115.58428452718766</v>
      </c>
      <c r="IJ58" s="1392">
        <f t="shared" ca="1" si="113"/>
        <v>18811896.119537231</v>
      </c>
      <c r="IK58" s="1392">
        <f t="shared" ca="1" si="114"/>
        <v>31015573.274482232</v>
      </c>
      <c r="IL58" s="1392">
        <f t="shared" ca="1" si="115"/>
        <v>51136035.380597278</v>
      </c>
      <c r="IM58" s="1392">
        <f t="shared" ca="1" si="116"/>
        <v>9.4877358363585262</v>
      </c>
      <c r="IN58" s="1392">
        <f t="shared" ca="1" si="117"/>
        <v>244.69193226422038</v>
      </c>
      <c r="IO58" s="1392">
        <f t="shared" ca="1" si="118"/>
        <v>4914.7688402991344</v>
      </c>
      <c r="IP58" s="1392">
        <f t="shared" ca="1" si="119"/>
        <v>17154.228809290984</v>
      </c>
      <c r="IQ58" s="1392">
        <f t="shared" ca="1" si="120"/>
        <v>42.521082000062783</v>
      </c>
      <c r="IR58" s="1392">
        <f t="shared" ca="1" si="121"/>
        <v>5389698.476283012</v>
      </c>
      <c r="IS58" s="1392">
        <f t="shared" ca="1" si="122"/>
        <v>65659969.13733051</v>
      </c>
      <c r="IT58" s="1392">
        <f t="shared" ca="1" si="123"/>
        <v>178482300.96318725</v>
      </c>
      <c r="IU58" s="1392">
        <f t="shared" ca="1" si="124"/>
        <v>377847034.10413581</v>
      </c>
      <c r="IV58" s="1392">
        <f t="shared" ca="1" si="125"/>
        <v>1982759.2635375687</v>
      </c>
      <c r="IW58" s="1392">
        <f t="shared" ca="1" si="126"/>
        <v>139002155.75451639</v>
      </c>
      <c r="IX58" s="1392">
        <f t="shared" ca="1" si="127"/>
        <v>126753.55900574342</v>
      </c>
      <c r="IY58" s="1392">
        <f t="shared" ca="1" si="128"/>
        <v>1408.1048482046956</v>
      </c>
      <c r="IZ58" s="1392">
        <f t="shared" ca="1" si="129"/>
        <v>7.3890560989306504</v>
      </c>
      <c r="JA58" s="1392">
        <f t="shared" ca="1" si="130"/>
        <v>15.642631884188171</v>
      </c>
      <c r="JB58" s="1392">
        <f t="shared" ca="1" si="131"/>
        <v>314.19066028569421</v>
      </c>
      <c r="JC58" s="1392">
        <f t="shared" ca="1" si="132"/>
        <v>485165195.40979028</v>
      </c>
      <c r="JD58" s="1392">
        <f t="shared" ca="1" si="133"/>
        <v>6310.6881080890244</v>
      </c>
      <c r="JE58" s="1392">
        <f t="shared" ca="1" si="134"/>
        <v>229175810.86564341</v>
      </c>
      <c r="JF58" s="1392">
        <f t="shared" ca="1" si="135"/>
        <v>148.4131591025766</v>
      </c>
      <c r="JG58" s="1392">
        <f t="shared" ca="1" si="136"/>
        <v>485165195.40979028</v>
      </c>
      <c r="JH58" s="1392">
        <f t="shared" ca="1" si="137"/>
        <v>18811896.119537231</v>
      </c>
      <c r="JI58" s="1392">
        <f t="shared" ca="1" si="138"/>
        <v>229175810.86564341</v>
      </c>
      <c r="JJ58" s="1392">
        <f t="shared" ca="1" si="139"/>
        <v>936589.15823255444</v>
      </c>
      <c r="JK58" s="1392">
        <f t="shared" ca="1" si="140"/>
        <v>20.085536923187668</v>
      </c>
      <c r="JL58" s="1392">
        <f t="shared" ca="1" si="141"/>
        <v>244.69193226422038</v>
      </c>
      <c r="JM58" s="1392">
        <f t="shared" ca="1" si="142"/>
        <v>178482300.96318725</v>
      </c>
      <c r="JN58" s="1392">
        <f t="shared" ca="1" si="143"/>
        <v>51136035.380597278</v>
      </c>
      <c r="JO58" s="1392">
        <f t="shared" ca="1" si="144"/>
        <v>665.14163304436181</v>
      </c>
      <c r="JP58" s="1392">
        <f t="shared" ca="1" si="145"/>
        <v>377847034.10413581</v>
      </c>
      <c r="JQ58" s="1392">
        <f t="shared" ca="1" si="146"/>
        <v>314.19066028569421</v>
      </c>
      <c r="JR58" s="1392">
        <f t="shared" ca="1" si="147"/>
        <v>31015573.274482232</v>
      </c>
      <c r="JS58" s="1392">
        <f t="shared" ca="1" si="148"/>
        <v>7.3890560989306504</v>
      </c>
      <c r="JT58" s="1392">
        <f t="shared" ca="1" si="149"/>
        <v>2545913.2895553061</v>
      </c>
      <c r="JU58" s="1392">
        <f t="shared" ca="1" si="150"/>
        <v>2545913.2895553061</v>
      </c>
      <c r="JV58" s="1392">
        <f t="shared" ca="1" si="151"/>
        <v>377847034.10413581</v>
      </c>
      <c r="JW58" s="1392">
        <f t="shared" ca="1" si="152"/>
        <v>10404.565716560723</v>
      </c>
      <c r="JX58" s="1392">
        <f t="shared" ca="1" si="153"/>
        <v>8886110.5205078721</v>
      </c>
      <c r="JY58" s="1392">
        <f t="shared" ca="1" si="154"/>
        <v>15.642631884188171</v>
      </c>
      <c r="JZ58" s="1392">
        <f t="shared" ca="1" si="155"/>
        <v>139002155.75451639</v>
      </c>
      <c r="KA58" s="1392">
        <f t="shared" ca="1" si="156"/>
        <v>442413.39200892049</v>
      </c>
      <c r="KB58" s="1392">
        <f t="shared" ca="1" si="157"/>
        <v>90.017131300521811</v>
      </c>
      <c r="KC58" s="1392">
        <f t="shared" ca="1" si="158"/>
        <v>178482300.96318725</v>
      </c>
      <c r="KD58" s="1392">
        <f t="shared" ca="1" si="159"/>
        <v>65659969.13733051</v>
      </c>
      <c r="KE58" s="1392">
        <f t="shared" ca="1" si="160"/>
        <v>36315.502674246636</v>
      </c>
      <c r="KF58" s="1392">
        <f t="shared" ca="1" si="161"/>
        <v>1202604.2841647768</v>
      </c>
      <c r="KG58" s="1399">
        <f t="shared" ca="1" si="162"/>
        <v>39824784.397576228</v>
      </c>
      <c r="KH58" s="1406">
        <f t="shared" ca="1" si="163"/>
        <v>7277183290.3533707</v>
      </c>
      <c r="KI58" s="377"/>
      <c r="KJ58" s="1444">
        <f t="shared" ca="1" si="164"/>
        <v>90.832038854480061</v>
      </c>
      <c r="KK58" s="49">
        <f t="shared" ca="1" si="165"/>
        <v>2.4570787779445311</v>
      </c>
      <c r="KL58" s="377"/>
      <c r="KM58" s="908">
        <f t="shared" ca="1" si="166"/>
        <v>3.3192722774476615E-3</v>
      </c>
      <c r="KN58" s="1411">
        <f t="shared" ca="1" si="167"/>
        <v>7.4062975484314006E-4</v>
      </c>
      <c r="KO58" s="1411">
        <f t="shared" ca="1" si="168"/>
        <v>1.0153730920486198E-9</v>
      </c>
      <c r="KP58" s="1411">
        <f t="shared" ca="1" si="169"/>
        <v>1.0153730920486198E-9</v>
      </c>
      <c r="KQ58" s="1411">
        <f t="shared" ca="1" si="170"/>
        <v>1.0023333764515938E-4</v>
      </c>
      <c r="KR58" s="1411">
        <f t="shared" ca="1" si="171"/>
        <v>3.1492378537371558E-2</v>
      </c>
      <c r="KS58" s="1411">
        <f t="shared" ca="1" si="172"/>
        <v>3.3192722774476615E-3</v>
      </c>
      <c r="KT58" s="1411">
        <f t="shared" ca="1" si="173"/>
        <v>9.0227175154938485E-3</v>
      </c>
      <c r="KU58" s="1411">
        <f t="shared" ca="1" si="174"/>
        <v>1.0153730920486198E-9</v>
      </c>
      <c r="KV58" s="1411">
        <f t="shared" ca="1" si="175"/>
        <v>1.6525683580884216E-4</v>
      </c>
      <c r="KW58" s="1411">
        <f t="shared" ca="1" si="176"/>
        <v>2.7246246032663668E-4</v>
      </c>
      <c r="KX58" s="1411">
        <f t="shared" ca="1" si="177"/>
        <v>2.8717332040645236E-5</v>
      </c>
      <c r="KY58" s="1411">
        <f t="shared" ca="1" si="178"/>
        <v>8.6718828649739638E-7</v>
      </c>
      <c r="KZ58" s="1411">
        <f t="shared" ca="1" si="179"/>
        <v>1.2369776561743121E-8</v>
      </c>
      <c r="LA58" s="1411">
        <f t="shared" ca="1" si="180"/>
        <v>9.0227175154938485E-3</v>
      </c>
      <c r="LB58" s="1411">
        <f t="shared" ca="1" si="181"/>
        <v>2.7246246032663668E-4</v>
      </c>
      <c r="LC58" s="1411">
        <f t="shared" ca="1" si="182"/>
        <v>1.2210920305233061E-3</v>
      </c>
      <c r="LD58" s="1411">
        <f t="shared" ca="1" si="183"/>
        <v>3.4984872415267688E-4</v>
      </c>
      <c r="LE58" s="1411">
        <f t="shared" ca="1" si="184"/>
        <v>1.0564516063047324E-5</v>
      </c>
      <c r="LF58" s="1411">
        <f t="shared" ca="1" si="185"/>
        <v>3.3192722774476615E-3</v>
      </c>
      <c r="LG58" s="1411">
        <f t="shared" ca="1" si="186"/>
        <v>1.1134918009165478E-6</v>
      </c>
      <c r="LH58" s="1411">
        <f t="shared" ca="1" si="187"/>
        <v>4.7962828723699151E-10</v>
      </c>
      <c r="LI58" s="1411">
        <f t="shared" ca="1" si="188"/>
        <v>4.0437014473936599E-2</v>
      </c>
      <c r="LJ58" s="1411">
        <f t="shared" ca="1" si="189"/>
        <v>4.0963074147016251E-7</v>
      </c>
      <c r="LK58" s="1411">
        <f t="shared" ca="1" si="190"/>
        <v>3.886468265520575E-6</v>
      </c>
      <c r="LL58" s="1411">
        <f t="shared" ca="1" si="191"/>
        <v>1.934958612450065E-7</v>
      </c>
      <c r="LM58" s="1411">
        <f t="shared" ca="1" si="192"/>
        <v>4.2620299691498017E-3</v>
      </c>
      <c r="LN58" s="1411">
        <f t="shared" ca="1" si="193"/>
        <v>1.3565107139958678E-5</v>
      </c>
      <c r="LO58" s="1411">
        <f t="shared" ca="1" si="194"/>
        <v>1.3037648576112494E-9</v>
      </c>
      <c r="LP58" s="1411">
        <f t="shared" ca="1" si="195"/>
        <v>1.0023333764515938E-4</v>
      </c>
      <c r="LQ58" s="1411">
        <f t="shared" ca="1" si="196"/>
        <v>5.5437492419288112E-8</v>
      </c>
      <c r="LR58" s="1411">
        <f t="shared" ca="1" si="197"/>
        <v>4.0437014473936599E-2</v>
      </c>
      <c r="LS58" s="1411">
        <f t="shared" ca="1" si="198"/>
        <v>1.1134918009165478E-6</v>
      </c>
      <c r="LT58" s="1411">
        <f t="shared" ca="1" si="199"/>
        <v>5.7680303303782007E-4</v>
      </c>
      <c r="LU58" s="1411">
        <f t="shared" ca="1" si="200"/>
        <v>2.6186817186705261E-8</v>
      </c>
      <c r="LV58" s="1411">
        <f t="shared" ca="1" si="201"/>
        <v>4.0437014473936599E-2</v>
      </c>
      <c r="LW58" s="1411">
        <f t="shared" ca="1" si="202"/>
        <v>4.7962828723699151E-10</v>
      </c>
      <c r="LX58" s="1411">
        <f t="shared" ca="1" si="203"/>
        <v>3.1902074222708281E-7</v>
      </c>
      <c r="LY58" s="1411">
        <f t="shared" ca="1" si="204"/>
        <v>4.7962828723699151E-10</v>
      </c>
      <c r="LZ58" s="1411">
        <f t="shared" ca="1" si="205"/>
        <v>2.5850518489034442E-3</v>
      </c>
      <c r="MA58" s="1411">
        <f t="shared" ca="1" si="206"/>
        <v>9.0227175154938485E-3</v>
      </c>
      <c r="MB58" s="1411">
        <f t="shared" ca="1" si="207"/>
        <v>5.2597628350433397E-7</v>
      </c>
      <c r="MC58" s="1411">
        <f t="shared" ca="1" si="208"/>
        <v>3.1492378537371558E-2</v>
      </c>
      <c r="MD58" s="1411">
        <f t="shared" ca="1" si="209"/>
        <v>6.4077028972648057E-6</v>
      </c>
      <c r="ME58" s="1411">
        <f t="shared" ca="1" si="210"/>
        <v>1.3037648576112494E-9</v>
      </c>
      <c r="MF58" s="1411">
        <f t="shared" ca="1" si="211"/>
        <v>7.1183149303799928E-8</v>
      </c>
      <c r="MG58" s="1411">
        <f t="shared" ca="1" si="212"/>
        <v>3.3624538849884937E-8</v>
      </c>
      <c r="MH58" s="1411">
        <f t="shared" ca="1" si="213"/>
        <v>3.1902074222708281E-7</v>
      </c>
      <c r="MI58" s="1411">
        <f t="shared" ca="1" si="214"/>
        <v>2.1495448527349907E-9</v>
      </c>
      <c r="MJ58" s="1411">
        <f t="shared" ca="1" si="215"/>
        <v>1.1736117237259796E-7</v>
      </c>
      <c r="MK58" s="1411">
        <f t="shared" ca="1" si="216"/>
        <v>2.5850518489034442E-3</v>
      </c>
      <c r="ML58" s="1411">
        <f t="shared" ca="1" si="217"/>
        <v>6.6669365886788221E-2</v>
      </c>
      <c r="MM58" s="1411">
        <f t="shared" ca="1" si="218"/>
        <v>1.835837616921305E-6</v>
      </c>
      <c r="MN58" s="1411">
        <f t="shared" ca="1" si="219"/>
        <v>7.4062975484314006E-4</v>
      </c>
      <c r="MO58" s="1411">
        <f t="shared" ca="1" si="220"/>
        <v>2.0132404042061854E-3</v>
      </c>
      <c r="MP58" s="1411">
        <f t="shared" ca="1" si="221"/>
        <v>3.0267845285695892E-6</v>
      </c>
      <c r="MQ58" s="1411">
        <f t="shared" ca="1" si="222"/>
        <v>2.7246246032663668E-4</v>
      </c>
      <c r="MR58" s="1411">
        <f t="shared" ca="1" si="223"/>
        <v>3.886468265520575E-6</v>
      </c>
      <c r="MS58" s="1411">
        <f t="shared" ca="1" si="224"/>
        <v>5.4725548070732166E-3</v>
      </c>
      <c r="MT58" s="1411">
        <f t="shared" ca="1" si="225"/>
        <v>5.1922154359504674E-2</v>
      </c>
      <c r="MU58" s="1411">
        <f t="shared" ca="1" si="226"/>
        <v>1.5679132033067688E-3</v>
      </c>
      <c r="MV58" s="1411">
        <f t="shared" ca="1" si="227"/>
        <v>4.7962828723699151E-10</v>
      </c>
      <c r="MW58" s="1411">
        <f t="shared" ca="1" si="228"/>
        <v>2.0394313731153782E-8</v>
      </c>
      <c r="MX58" s="1411">
        <f t="shared" ca="1" si="229"/>
        <v>4.0437014473936599E-2</v>
      </c>
      <c r="MY58" s="1411">
        <f t="shared" ca="1" si="230"/>
        <v>2.3572621610384088E-6</v>
      </c>
      <c r="MZ58" s="1411">
        <f t="shared" ca="1" si="231"/>
        <v>7.9077335919709872E-10</v>
      </c>
      <c r="NA58" s="1411">
        <f t="shared" ca="1" si="232"/>
        <v>4.7346876173170113E-5</v>
      </c>
      <c r="NB58" s="1411">
        <f t="shared" ca="1" si="233"/>
        <v>2.5850518489034442E-3</v>
      </c>
      <c r="NC58" s="1411">
        <f t="shared" ca="1" si="234"/>
        <v>1.0023333764515938E-4</v>
      </c>
      <c r="ND58" s="1411">
        <f t="shared" ca="1" si="235"/>
        <v>1.1585398617487771E-2</v>
      </c>
      <c r="NE58" s="1411">
        <f t="shared" ca="1" si="236"/>
        <v>4.3174762507656655E-8</v>
      </c>
      <c r="NF58" s="1411">
        <f t="shared" ca="1" si="237"/>
        <v>4.9903240340787411E-6</v>
      </c>
      <c r="NG58" s="1411">
        <f t="shared" ca="1" si="238"/>
        <v>2.3572621610384088E-6</v>
      </c>
      <c r="NH58" s="1411">
        <f t="shared" ca="1" si="239"/>
        <v>9.1400972945957412E-8</v>
      </c>
      <c r="NI58" s="1411">
        <f t="shared" ca="1" si="240"/>
        <v>2.2365080680976054E-5</v>
      </c>
      <c r="NJ58" s="1411">
        <f t="shared" ca="1" si="241"/>
        <v>1.1736117237259796E-7</v>
      </c>
      <c r="NK58" s="1411">
        <f t="shared" ca="1" si="242"/>
        <v>1.1736117237259796E-7</v>
      </c>
      <c r="NL58" s="1411">
        <f t="shared" ca="1" si="243"/>
        <v>4.4921465380781569E-4</v>
      </c>
      <c r="NM58" s="1411">
        <f t="shared" ca="1" si="244"/>
        <v>1.5069472825868694E-7</v>
      </c>
      <c r="NN58" s="1411">
        <f t="shared" ca="1" si="245"/>
        <v>1.1736117237259796E-7</v>
      </c>
      <c r="NO58" s="1411">
        <f t="shared" ca="1" si="246"/>
        <v>9.6335916727038531E-9</v>
      </c>
      <c r="NP58" s="1411">
        <f t="shared" ca="1" si="247"/>
        <v>2.0394313731153782E-8</v>
      </c>
      <c r="NQ58" s="1411">
        <f t="shared" ca="1" si="248"/>
        <v>1.5883107504026471E-8</v>
      </c>
      <c r="NR58" s="1411">
        <f t="shared" ca="1" si="249"/>
        <v>1.5883107504026471E-8</v>
      </c>
      <c r="NS58" s="1411">
        <f t="shared" ca="1" si="250"/>
        <v>3.1492378537371558E-2</v>
      </c>
      <c r="NT58" s="1411">
        <f t="shared" ca="1" si="251"/>
        <v>2.4845360386247285E-7</v>
      </c>
      <c r="NU58" s="1411">
        <f t="shared" ca="1" si="252"/>
        <v>3.1492378537371558E-2</v>
      </c>
      <c r="NV58" s="1411">
        <f t="shared" ca="1" si="253"/>
        <v>7.1183149303799928E-8</v>
      </c>
      <c r="NW58" s="1411">
        <f t="shared" ca="1" si="254"/>
        <v>8.6718828649739638E-7</v>
      </c>
      <c r="NX58" s="1411">
        <f t="shared" ca="1" si="255"/>
        <v>4.5505864889496646E-9</v>
      </c>
      <c r="NY58" s="1411">
        <f t="shared" ca="1" si="256"/>
        <v>7.502648738491925E-9</v>
      </c>
      <c r="NZ58" s="1411">
        <f t="shared" ca="1" si="257"/>
        <v>1.74179423477993E-5</v>
      </c>
      <c r="OA58" s="1411">
        <f t="shared" ca="1" si="258"/>
        <v>1.74179423477993E-5</v>
      </c>
      <c r="OB58" s="1411">
        <f t="shared" ca="1" si="259"/>
        <v>1.5883107504026471E-8</v>
      </c>
      <c r="OC58" s="1411">
        <f t="shared" ca="1" si="260"/>
        <v>2.5850518489034442E-3</v>
      </c>
      <c r="OD58" s="1411">
        <f t="shared" ca="1" si="261"/>
        <v>4.2620299691498017E-3</v>
      </c>
      <c r="OE58" s="1411">
        <f t="shared" ca="1" si="262"/>
        <v>7.0268994664986891E-3</v>
      </c>
      <c r="OF58" s="1411">
        <f t="shared" ca="1" si="263"/>
        <v>1.3037648576112494E-9</v>
      </c>
      <c r="OG58" s="1411">
        <f t="shared" ca="1" si="264"/>
        <v>3.3624538849884937E-8</v>
      </c>
      <c r="OH58" s="1411">
        <f t="shared" ca="1" si="265"/>
        <v>6.7536691659452202E-7</v>
      </c>
      <c r="OI58" s="1411">
        <f t="shared" ca="1" si="266"/>
        <v>2.3572621610384088E-6</v>
      </c>
      <c r="OJ58" s="1411">
        <f t="shared" ca="1" si="267"/>
        <v>5.8430687126471997E-9</v>
      </c>
      <c r="OK58" s="1411">
        <f t="shared" ca="1" si="268"/>
        <v>7.4062975484314006E-4</v>
      </c>
      <c r="OL58" s="1411">
        <f t="shared" ca="1" si="269"/>
        <v>9.0227175154938485E-3</v>
      </c>
      <c r="OM58" s="1411">
        <f t="shared" ca="1" si="270"/>
        <v>2.4526289065686071E-2</v>
      </c>
      <c r="ON58" s="1411">
        <f t="shared" ca="1" si="271"/>
        <v>5.1922154359504674E-2</v>
      </c>
      <c r="OO58" s="1411">
        <f t="shared" ca="1" si="272"/>
        <v>2.7246246032663668E-4</v>
      </c>
      <c r="OP58" s="1411">
        <f t="shared" ca="1" si="273"/>
        <v>1.9101093130191947E-2</v>
      </c>
      <c r="OQ58" s="1411">
        <f t="shared" ca="1" si="274"/>
        <v>1.74179423477993E-5</v>
      </c>
      <c r="OR58" s="1411">
        <f t="shared" ca="1" si="275"/>
        <v>1.934958612450065E-7</v>
      </c>
      <c r="OS58" s="1411">
        <f t="shared" ca="1" si="276"/>
        <v>1.0153730920486198E-9</v>
      </c>
      <c r="OT58" s="1411">
        <f t="shared" ca="1" si="277"/>
        <v>2.1495448527349907E-9</v>
      </c>
      <c r="OU58" s="1411">
        <f t="shared" ca="1" si="278"/>
        <v>4.3174762507656655E-8</v>
      </c>
      <c r="OV58" s="1411">
        <f t="shared" ca="1" si="279"/>
        <v>6.6669365886788221E-2</v>
      </c>
      <c r="OW58" s="1411">
        <f t="shared" ca="1" si="280"/>
        <v>8.6718828649739638E-7</v>
      </c>
      <c r="OX58" s="1411">
        <f t="shared" ca="1" si="281"/>
        <v>3.1492378537371558E-2</v>
      </c>
      <c r="OY58" s="1411">
        <f t="shared" ca="1" si="282"/>
        <v>2.0394313731153782E-8</v>
      </c>
      <c r="OZ58" s="1411">
        <f t="shared" ca="1" si="283"/>
        <v>6.6669365886788221E-2</v>
      </c>
      <c r="PA58" s="1411">
        <f t="shared" ca="1" si="284"/>
        <v>2.5850518489034442E-3</v>
      </c>
      <c r="PB58" s="1411">
        <f t="shared" ca="1" si="285"/>
        <v>3.1492378537371558E-2</v>
      </c>
      <c r="PC58" s="1411">
        <f t="shared" ca="1" si="286"/>
        <v>1.2870215313582885E-4</v>
      </c>
      <c r="PD58" s="1411">
        <f t="shared" ca="1" si="287"/>
        <v>2.7600702252220364E-9</v>
      </c>
      <c r="PE58" s="1411">
        <f t="shared" ca="1" si="288"/>
        <v>3.3624538849884937E-8</v>
      </c>
      <c r="PF58" s="1411">
        <f t="shared" ca="1" si="289"/>
        <v>2.4526289065686071E-2</v>
      </c>
      <c r="PG58" s="1411">
        <f t="shared" ca="1" si="290"/>
        <v>7.0268994664986891E-3</v>
      </c>
      <c r="PH58" s="1411">
        <f t="shared" ca="1" si="291"/>
        <v>9.1400972945957412E-8</v>
      </c>
      <c r="PI58" s="1411">
        <f t="shared" ca="1" si="292"/>
        <v>5.1922154359504674E-2</v>
      </c>
      <c r="PJ58" s="1411">
        <f t="shared" ca="1" si="293"/>
        <v>4.3174762507656655E-8</v>
      </c>
      <c r="PK58" s="1411">
        <f t="shared" ca="1" si="294"/>
        <v>4.2620299691498017E-3</v>
      </c>
      <c r="PL58" s="1411">
        <f t="shared" ca="1" si="295"/>
        <v>1.0153730920486198E-9</v>
      </c>
      <c r="PM58" s="1411">
        <f t="shared" ca="1" si="296"/>
        <v>3.4984872415267688E-4</v>
      </c>
      <c r="PN58" s="1411">
        <f t="shared" ca="1" si="297"/>
        <v>3.4984872415267688E-4</v>
      </c>
      <c r="PO58" s="1411">
        <f t="shared" ca="1" si="298"/>
        <v>5.1922154359504674E-2</v>
      </c>
      <c r="PP58" s="1411">
        <f t="shared" ca="1" si="299"/>
        <v>1.429751773650254E-6</v>
      </c>
      <c r="PQ58" s="1411">
        <f t="shared" ca="1" si="300"/>
        <v>1.2210920305233061E-3</v>
      </c>
      <c r="PR58" s="1411">
        <f t="shared" ca="1" si="301"/>
        <v>2.1495448527349907E-9</v>
      </c>
      <c r="PS58" s="1411">
        <f t="shared" ca="1" si="302"/>
        <v>1.9101093130191947E-2</v>
      </c>
      <c r="PT58" s="1411">
        <f t="shared" ca="1" si="303"/>
        <v>6.0794592407117652E-5</v>
      </c>
      <c r="PU58" s="1411">
        <f t="shared" ca="1" si="304"/>
        <v>1.2369776561743121E-8</v>
      </c>
      <c r="PV58" s="1411">
        <f t="shared" ca="1" si="305"/>
        <v>2.4526289065686071E-2</v>
      </c>
      <c r="PW58" s="1411">
        <f t="shared" ca="1" si="306"/>
        <v>9.0227175154938485E-3</v>
      </c>
      <c r="PX58" s="1411">
        <f t="shared" ca="1" si="307"/>
        <v>4.9903240340787411E-6</v>
      </c>
      <c r="PY58" s="1411">
        <f t="shared" ca="1" si="308"/>
        <v>1.6525683580884216E-4</v>
      </c>
      <c r="PZ58" s="1412">
        <f t="shared" ca="1" si="309"/>
        <v>5.4725548070732166E-3</v>
      </c>
      <c r="QB58" s="33" t="s">
        <v>1072</v>
      </c>
      <c r="QC58" s="1432">
        <f t="shared" ca="1" si="336"/>
        <v>0.23203608200471365</v>
      </c>
      <c r="QD58" s="744">
        <f t="shared" ca="1" si="337"/>
        <v>0.2563571814147626</v>
      </c>
      <c r="QE58" s="1068">
        <f t="shared" ca="1" si="338"/>
        <v>0.51160673658052391</v>
      </c>
      <c r="QF58" s="744">
        <f t="shared" ca="1" si="339"/>
        <v>0.34207921333850921</v>
      </c>
      <c r="QG58" s="744">
        <f t="shared" ca="1" si="340"/>
        <v>0.38746993608511376</v>
      </c>
      <c r="QH58" s="1068">
        <f t="shared" ca="1" si="341"/>
        <v>0.2704508505763773</v>
      </c>
      <c r="QI58" s="744">
        <f t="shared" ca="1" si="342"/>
        <v>0.56006717945099127</v>
      </c>
      <c r="QJ58" s="1068">
        <f t="shared" ca="1" si="343"/>
        <v>0.43993282054900906</v>
      </c>
      <c r="QK58" s="744">
        <f t="shared" ca="1" si="344"/>
        <v>0.49916463217435331</v>
      </c>
      <c r="QL58" s="1068">
        <f t="shared" ca="1" si="345"/>
        <v>0.50083536782564697</v>
      </c>
      <c r="QM58" s="744">
        <f t="shared" ca="1" si="346"/>
        <v>0.4016991741563421</v>
      </c>
      <c r="QN58" s="1068">
        <f t="shared" ca="1" si="347"/>
        <v>0.59830082584365851</v>
      </c>
      <c r="QO58" s="744">
        <f t="shared" ca="1" si="348"/>
        <v>0.36045710336216003</v>
      </c>
      <c r="QP58" s="1068">
        <f t="shared" ca="1" si="349"/>
        <v>0.63954289663784003</v>
      </c>
      <c r="QR58" s="1432">
        <f t="shared" ca="1" si="350"/>
        <v>5.7757002908427973E-2</v>
      </c>
      <c r="QS58" s="744">
        <f t="shared" ca="1" si="351"/>
        <v>9.0156295217549531E-2</v>
      </c>
      <c r="QT58" s="744">
        <f t="shared" ca="1" si="352"/>
        <v>8.4122783878736201E-2</v>
      </c>
      <c r="QU58" s="743">
        <f t="shared" ca="1" si="353"/>
        <v>0.17168927667395914</v>
      </c>
      <c r="QV58" s="744">
        <f t="shared" ca="1" si="354"/>
        <v>1.4799953407808682E-2</v>
      </c>
      <c r="QW58" s="744">
        <f t="shared" ca="1" si="355"/>
        <v>6.9867951332994782E-2</v>
      </c>
      <c r="QX58" s="743">
        <f t="shared" ca="1" si="356"/>
        <v>0.11263293375612204</v>
      </c>
      <c r="QY58" s="744">
        <f t="shared" ca="1" si="357"/>
        <v>0.28251368745975552</v>
      </c>
      <c r="QZ58" s="745">
        <f t="shared" ca="1" si="358"/>
        <v>0.1164601153646464</v>
      </c>
      <c r="RC58" s="744">
        <f t="shared" ca="1" si="359"/>
        <v>9.7624971774327614E-3</v>
      </c>
      <c r="RD58" s="744">
        <f t="shared" ca="1" si="360"/>
        <v>4.4816979593255563E-2</v>
      </c>
      <c r="RE58" s="744">
        <f t="shared" ca="1" si="361"/>
        <v>4.0522454864241421E-2</v>
      </c>
      <c r="RF58" s="744">
        <f t="shared" ca="1" si="362"/>
        <v>9.9676006646355439E-2</v>
      </c>
      <c r="RG58" s="744">
        <f t="shared" ca="1" si="363"/>
        <v>4.745311758681526E-4</v>
      </c>
      <c r="RH58" s="744">
        <f t="shared" ca="1" si="364"/>
        <v>6.8828128273780735E-3</v>
      </c>
      <c r="RI58" s="744">
        <f t="shared" ca="1" si="365"/>
        <v>9.5839613618836333E-2</v>
      </c>
      <c r="RJ58" s="744">
        <f t="shared" ca="1" si="366"/>
        <v>8.3604216005169776E-2</v>
      </c>
      <c r="RK58" s="744">
        <f t="shared" ca="1" si="367"/>
        <v>5.8353708640471687E-2</v>
      </c>
      <c r="RL58" s="1251"/>
      <c r="RM58" s="744">
        <f t="shared" ca="1" si="368"/>
        <v>5.3230661201841778E-2</v>
      </c>
      <c r="RN58" s="744">
        <f t="shared" ca="1" si="369"/>
        <v>8.0975842628946304E-2</v>
      </c>
      <c r="RO58" s="744">
        <f t="shared" ca="1" si="370"/>
        <v>2.5857969610974842E-3</v>
      </c>
      <c r="RP58" s="744">
        <f t="shared" ca="1" si="371"/>
        <v>4.4763681332380199E-2</v>
      </c>
      <c r="RQ58" s="744">
        <f t="shared" ca="1" si="372"/>
        <v>1.2140265524810337E-2</v>
      </c>
      <c r="RR58" s="744">
        <f t="shared" ca="1" si="373"/>
        <v>6.9849592355004847E-2</v>
      </c>
      <c r="RS58" s="744">
        <f t="shared" ca="1" si="374"/>
        <v>9.7833249786937297E-3</v>
      </c>
      <c r="RT58" s="744">
        <f t="shared" ca="1" si="375"/>
        <v>0.15969600506911577</v>
      </c>
      <c r="RU58" s="744">
        <f t="shared" ca="1" si="376"/>
        <v>6.7810197773756464E-2</v>
      </c>
      <c r="RV58" s="744"/>
      <c r="RW58" s="744">
        <f t="shared" ca="1" si="377"/>
        <v>2.1938351591875464E-2</v>
      </c>
      <c r="RX58" s="744">
        <f t="shared" ca="1" si="378"/>
        <v>8.8479925885907557E-2</v>
      </c>
      <c r="RY58" s="744">
        <f t="shared" ca="1" si="379"/>
        <v>7.452123187483542E-2</v>
      </c>
      <c r="RZ58" s="744">
        <f t="shared" ca="1" si="380"/>
        <v>0.16910242895925465</v>
      </c>
      <c r="SA58" s="744">
        <f t="shared" ca="1" si="381"/>
        <v>2.6601827216271808E-3</v>
      </c>
      <c r="SB58" s="744">
        <f t="shared" ca="1" si="382"/>
        <v>3.8356988749785659E-2</v>
      </c>
      <c r="SC58" s="744">
        <f t="shared" ca="1" si="383"/>
        <v>2.913761501722896E-2</v>
      </c>
      <c r="SD58" s="744">
        <f t="shared" ca="1" si="384"/>
        <v>0.14201919633642518</v>
      </c>
      <c r="SE58" s="744">
        <f t="shared" ca="1" si="385"/>
        <v>3.2084904706718202E-2</v>
      </c>
      <c r="SF58" s="744"/>
      <c r="SG58" s="744">
        <f t="shared" ca="1" si="386"/>
        <v>4.1722175821034324E-2</v>
      </c>
      <c r="SH58" s="744">
        <f t="shared" ca="1" si="387"/>
        <v>4.4220537526553055E-2</v>
      </c>
      <c r="SI58" s="744">
        <f t="shared" ca="1" si="388"/>
        <v>4.36065122596924E-2</v>
      </c>
      <c r="SJ58" s="744">
        <f t="shared" ca="1" si="389"/>
        <v>0.15977619556866737</v>
      </c>
      <c r="SK58" s="744">
        <f t="shared" ca="1" si="390"/>
        <v>1.462498235832416E-2</v>
      </c>
      <c r="SL58" s="744">
        <f t="shared" ca="1" si="391"/>
        <v>4.2798242593659955E-3</v>
      </c>
      <c r="SM58" s="744">
        <f t="shared" ca="1" si="392"/>
        <v>8.0046843164346737E-2</v>
      </c>
      <c r="SN58" s="744">
        <f t="shared" ca="1" si="393"/>
        <v>0.22084991524981132</v>
      </c>
      <c r="SO58" s="744">
        <f t="shared" ca="1" si="394"/>
        <v>3.0415910430044754E-2</v>
      </c>
      <c r="SP58" s="100"/>
      <c r="SQ58" s="114"/>
      <c r="SR58" s="806">
        <f t="shared" ca="1" si="395"/>
        <v>0.16902707352926385</v>
      </c>
      <c r="SS58" s="806">
        <f t="shared" ca="1" si="396"/>
        <v>0.49710316384575254</v>
      </c>
      <c r="ST58" s="806">
        <f t="shared" ca="1" si="397"/>
        <v>0.48170606101974617</v>
      </c>
      <c r="SU58" s="806">
        <f t="shared" ca="1" si="398"/>
        <v>0.58056046700949104</v>
      </c>
      <c r="SV58" s="806">
        <f t="shared" ca="1" si="399"/>
        <v>3.2063018226650815E-2</v>
      </c>
      <c r="SW58" s="806">
        <f t="shared" ca="1" si="400"/>
        <v>9.8511731002018099E-2</v>
      </c>
      <c r="SX58" s="806">
        <f t="shared" ca="1" si="401"/>
        <v>0.85090222213649014</v>
      </c>
      <c r="SY58" s="806">
        <f t="shared" ca="1" si="402"/>
        <v>0.29592978930296721</v>
      </c>
      <c r="SZ58" s="806">
        <f t="shared" ca="1" si="403"/>
        <v>0.50106174511128831</v>
      </c>
      <c r="TA58" s="806"/>
      <c r="TB58" s="806">
        <f t="shared" ca="1" si="404"/>
        <v>0.92163129181473324</v>
      </c>
      <c r="TC58" s="806">
        <f t="shared" ca="1" si="405"/>
        <v>0.89817180745448166</v>
      </c>
      <c r="TD58" s="806">
        <f t="shared" ca="1" si="406"/>
        <v>3.0738366490877612E-2</v>
      </c>
      <c r="TE58" s="806">
        <f t="shared" ca="1" si="407"/>
        <v>0.26072496896464414</v>
      </c>
      <c r="TF58" s="806">
        <f t="shared" ca="1" si="408"/>
        <v>0.82029079351053547</v>
      </c>
      <c r="TG58" s="806">
        <f t="shared" ca="1" si="409"/>
        <v>0.9997372332000628</v>
      </c>
      <c r="TH58" s="806">
        <f t="shared" ca="1" si="410"/>
        <v>8.6860251725991891E-2</v>
      </c>
      <c r="TI58" s="806">
        <f t="shared" ca="1" si="411"/>
        <v>0.56526820525063837</v>
      </c>
      <c r="TJ58" s="806">
        <f t="shared" ca="1" si="412"/>
        <v>0.58226112486182102</v>
      </c>
      <c r="TK58" s="806"/>
      <c r="TL58" s="806">
        <f t="shared" ca="1" si="413"/>
        <v>0.37983881585161322</v>
      </c>
      <c r="TM58" s="806">
        <f t="shared" ca="1" si="414"/>
        <v>0.98140596474603514</v>
      </c>
      <c r="TN58" s="806">
        <f t="shared" ca="1" si="415"/>
        <v>0.88586264551418659</v>
      </c>
      <c r="TO58" s="806">
        <f t="shared" ca="1" si="416"/>
        <v>0.98493296864651037</v>
      </c>
      <c r="TP58" s="806">
        <f t="shared" ca="1" si="417"/>
        <v>0.17974264163721135</v>
      </c>
      <c r="TQ58" s="806">
        <f t="shared" ca="1" si="418"/>
        <v>0.54899260702484298</v>
      </c>
      <c r="TR58" s="806">
        <f t="shared" ca="1" si="419"/>
        <v>0.2586953393251662</v>
      </c>
      <c r="TS58" s="806">
        <f t="shared" ca="1" si="420"/>
        <v>0.50269846255380468</v>
      </c>
      <c r="TT58" s="806">
        <f t="shared" ca="1" si="421"/>
        <v>0.27550122723352688</v>
      </c>
      <c r="TU58" s="806"/>
      <c r="TV58" s="806">
        <f t="shared" ca="1" si="422"/>
        <v>0.72237432207456476</v>
      </c>
      <c r="TW58" s="806">
        <f t="shared" ca="1" si="313"/>
        <v>0.49048751859032946</v>
      </c>
      <c r="TX58" s="806">
        <f t="shared" ca="1" si="314"/>
        <v>0.51836744160240356</v>
      </c>
      <c r="TY58" s="806">
        <f t="shared" ca="1" si="315"/>
        <v>0.93061254997354959</v>
      </c>
      <c r="TZ58" s="806">
        <f t="shared" ca="1" si="316"/>
        <v>0.98817759457322318</v>
      </c>
      <c r="UA58" s="806">
        <f t="shared" ca="1" si="317"/>
        <v>6.1255900276338433E-2</v>
      </c>
      <c r="UB58" s="806">
        <f t="shared" ca="1" si="318"/>
        <v>0.71068772245307754</v>
      </c>
      <c r="UC58" s="806">
        <f t="shared" ca="1" si="319"/>
        <v>0.78173173567483067</v>
      </c>
      <c r="UD58" s="1439">
        <f t="shared" ca="1" si="320"/>
        <v>0.26117018976677109</v>
      </c>
    </row>
    <row r="59" spans="3:551" s="7" customFormat="1" x14ac:dyDescent="0.25">
      <c r="C59" s="21" t="s">
        <v>509</v>
      </c>
      <c r="D59" s="1308">
        <v>44034</v>
      </c>
      <c r="E59" s="233">
        <f>AK135</f>
        <v>0</v>
      </c>
      <c r="F59" s="1392">
        <f t="shared" ref="F59:BQ59" si="423">AL135</f>
        <v>0</v>
      </c>
      <c r="G59" s="1392">
        <f t="shared" si="423"/>
        <v>0</v>
      </c>
      <c r="H59" s="1392">
        <f t="shared" si="423"/>
        <v>0</v>
      </c>
      <c r="I59" s="1392">
        <f t="shared" si="423"/>
        <v>0</v>
      </c>
      <c r="J59" s="1392">
        <f t="shared" si="423"/>
        <v>0</v>
      </c>
      <c r="K59" s="1392">
        <f t="shared" si="423"/>
        <v>0</v>
      </c>
      <c r="L59" s="1392">
        <f t="shared" si="423"/>
        <v>0</v>
      </c>
      <c r="M59" s="1392">
        <f t="shared" si="423"/>
        <v>0</v>
      </c>
      <c r="N59" s="1392">
        <f t="shared" si="423"/>
        <v>0</v>
      </c>
      <c r="O59" s="1392">
        <f t="shared" si="423"/>
        <v>0</v>
      </c>
      <c r="P59" s="1392">
        <f t="shared" si="423"/>
        <v>0</v>
      </c>
      <c r="Q59" s="1392">
        <f t="shared" si="423"/>
        <v>0</v>
      </c>
      <c r="R59" s="1392">
        <f t="shared" si="423"/>
        <v>0</v>
      </c>
      <c r="S59" s="1392">
        <f t="shared" si="423"/>
        <v>0</v>
      </c>
      <c r="T59" s="1392">
        <f t="shared" si="423"/>
        <v>0</v>
      </c>
      <c r="U59" s="1392">
        <f t="shared" si="423"/>
        <v>0</v>
      </c>
      <c r="V59" s="1392">
        <f t="shared" si="423"/>
        <v>0</v>
      </c>
      <c r="W59" s="1392">
        <f t="shared" si="423"/>
        <v>0</v>
      </c>
      <c r="X59" s="1392">
        <f t="shared" si="423"/>
        <v>0</v>
      </c>
      <c r="Y59" s="1392">
        <f t="shared" si="423"/>
        <v>0</v>
      </c>
      <c r="Z59" s="1392">
        <f t="shared" si="423"/>
        <v>0</v>
      </c>
      <c r="AA59" s="1392">
        <f t="shared" si="423"/>
        <v>0</v>
      </c>
      <c r="AB59" s="1392">
        <f t="shared" si="423"/>
        <v>0</v>
      </c>
      <c r="AC59" s="1392">
        <f t="shared" si="423"/>
        <v>0</v>
      </c>
      <c r="AD59" s="1392">
        <f t="shared" si="423"/>
        <v>0</v>
      </c>
      <c r="AE59" s="1392">
        <f t="shared" si="423"/>
        <v>0</v>
      </c>
      <c r="AF59" s="1392">
        <f t="shared" si="423"/>
        <v>0</v>
      </c>
      <c r="AG59" s="1392">
        <f t="shared" si="423"/>
        <v>0</v>
      </c>
      <c r="AH59" s="1392">
        <f t="shared" si="423"/>
        <v>0</v>
      </c>
      <c r="AI59" s="1392">
        <f t="shared" si="423"/>
        <v>0</v>
      </c>
      <c r="AJ59" s="1392">
        <f t="shared" si="423"/>
        <v>0</v>
      </c>
      <c r="AK59" s="1392">
        <f t="shared" si="423"/>
        <v>0</v>
      </c>
      <c r="AL59" s="1392">
        <f t="shared" si="423"/>
        <v>0</v>
      </c>
      <c r="AM59" s="1392">
        <f t="shared" si="423"/>
        <v>0</v>
      </c>
      <c r="AN59" s="1392">
        <f t="shared" si="423"/>
        <v>0</v>
      </c>
      <c r="AO59" s="1392">
        <f t="shared" si="423"/>
        <v>0</v>
      </c>
      <c r="AP59" s="1392">
        <f t="shared" si="423"/>
        <v>0</v>
      </c>
      <c r="AQ59" s="1392">
        <f t="shared" si="423"/>
        <v>0</v>
      </c>
      <c r="AR59" s="1392">
        <f t="shared" si="423"/>
        <v>0</v>
      </c>
      <c r="AS59" s="1392">
        <f t="shared" si="423"/>
        <v>0</v>
      </c>
      <c r="AT59" s="1392">
        <f t="shared" si="423"/>
        <v>0</v>
      </c>
      <c r="AU59" s="1392">
        <f t="shared" si="423"/>
        <v>0</v>
      </c>
      <c r="AV59" s="1392">
        <f t="shared" si="423"/>
        <v>0</v>
      </c>
      <c r="AW59" s="1392">
        <f t="shared" si="423"/>
        <v>0</v>
      </c>
      <c r="AX59" s="1392">
        <f t="shared" si="423"/>
        <v>0</v>
      </c>
      <c r="AY59" s="1392">
        <f t="shared" si="423"/>
        <v>0</v>
      </c>
      <c r="AZ59" s="1392">
        <f t="shared" si="423"/>
        <v>0</v>
      </c>
      <c r="BA59" s="1392">
        <f t="shared" si="423"/>
        <v>0</v>
      </c>
      <c r="BB59" s="1392">
        <f t="shared" si="423"/>
        <v>0</v>
      </c>
      <c r="BC59" s="1392">
        <f t="shared" si="423"/>
        <v>0</v>
      </c>
      <c r="BD59" s="1392">
        <f t="shared" si="423"/>
        <v>0</v>
      </c>
      <c r="BE59" s="1392">
        <f t="shared" si="423"/>
        <v>0</v>
      </c>
      <c r="BF59" s="1392">
        <f t="shared" si="423"/>
        <v>0</v>
      </c>
      <c r="BG59" s="1392">
        <f t="shared" si="423"/>
        <v>0</v>
      </c>
      <c r="BH59" s="1392">
        <f t="shared" si="423"/>
        <v>0</v>
      </c>
      <c r="BI59" s="1392">
        <f t="shared" si="423"/>
        <v>0</v>
      </c>
      <c r="BJ59" s="1392">
        <f t="shared" si="423"/>
        <v>0</v>
      </c>
      <c r="BK59" s="1392">
        <f t="shared" si="423"/>
        <v>0</v>
      </c>
      <c r="BL59" s="1392">
        <f t="shared" si="423"/>
        <v>0</v>
      </c>
      <c r="BM59" s="1392">
        <f t="shared" si="423"/>
        <v>0</v>
      </c>
      <c r="BN59" s="1392">
        <f t="shared" si="423"/>
        <v>0</v>
      </c>
      <c r="BO59" s="1392">
        <f t="shared" si="423"/>
        <v>0</v>
      </c>
      <c r="BP59" s="1392">
        <f t="shared" si="423"/>
        <v>0</v>
      </c>
      <c r="BQ59" s="1392">
        <f t="shared" si="423"/>
        <v>0</v>
      </c>
      <c r="BR59" s="1392">
        <f t="shared" ref="BR59:EC59" si="424">CX135</f>
        <v>0</v>
      </c>
      <c r="BS59" s="1392">
        <f t="shared" si="424"/>
        <v>0</v>
      </c>
      <c r="BT59" s="1392">
        <f t="shared" si="424"/>
        <v>0</v>
      </c>
      <c r="BU59" s="1392">
        <f t="shared" si="424"/>
        <v>0</v>
      </c>
      <c r="BV59" s="1392">
        <f t="shared" si="424"/>
        <v>0</v>
      </c>
      <c r="BW59" s="1392">
        <f t="shared" si="424"/>
        <v>0</v>
      </c>
      <c r="BX59" s="1392">
        <f t="shared" si="424"/>
        <v>0</v>
      </c>
      <c r="BY59" s="1392">
        <f t="shared" si="424"/>
        <v>60.660041118267671</v>
      </c>
      <c r="BZ59" s="1392">
        <f t="shared" si="424"/>
        <v>60.66014157602838</v>
      </c>
      <c r="CA59" s="1392">
        <f t="shared" si="424"/>
        <v>60.660134918096297</v>
      </c>
      <c r="CB59" s="1392">
        <f t="shared" si="424"/>
        <v>60.660223160873848</v>
      </c>
      <c r="CC59" s="1392">
        <f t="shared" si="424"/>
        <v>60.660274432993951</v>
      </c>
      <c r="CD59" s="1392">
        <f t="shared" si="424"/>
        <v>60.660341112872388</v>
      </c>
      <c r="CE59" s="1392">
        <f t="shared" si="424"/>
        <v>60.660347268009467</v>
      </c>
      <c r="CF59" s="1392">
        <f t="shared" si="424"/>
        <v>60.660491136968723</v>
      </c>
      <c r="CG59" s="1392">
        <f t="shared" si="424"/>
        <v>60.659678077094959</v>
      </c>
      <c r="CH59" s="1392">
        <f t="shared" si="424"/>
        <v>60.659706484683007</v>
      </c>
      <c r="CI59" s="1392">
        <f t="shared" si="424"/>
        <v>60.660560735713638</v>
      </c>
      <c r="CJ59" s="1392">
        <f t="shared" si="424"/>
        <v>60.659763583485514</v>
      </c>
      <c r="CK59" s="1392">
        <f t="shared" si="424"/>
        <v>60.659850233912678</v>
      </c>
      <c r="CL59" s="1392">
        <f t="shared" si="424"/>
        <v>60.660636841596833</v>
      </c>
      <c r="CM59" s="1392">
        <f t="shared" si="424"/>
        <v>60.659946364144034</v>
      </c>
      <c r="CN59" s="1392">
        <f t="shared" si="424"/>
        <v>60.66073634313183</v>
      </c>
      <c r="CO59" s="1392">
        <f t="shared" si="424"/>
        <v>60.660865398628275</v>
      </c>
      <c r="CP59" s="1392">
        <f t="shared" si="424"/>
        <v>60.660868900569945</v>
      </c>
      <c r="CQ59" s="1392">
        <f t="shared" si="424"/>
        <v>60.660953198602854</v>
      </c>
      <c r="CR59" s="1392">
        <f t="shared" si="424"/>
        <v>60.661026150440037</v>
      </c>
      <c r="CS59" s="1392">
        <f t="shared" si="424"/>
        <v>60.661056081273891</v>
      </c>
      <c r="CT59" s="1392">
        <f t="shared" si="424"/>
        <v>60.661080785748467</v>
      </c>
      <c r="CU59" s="1392">
        <f t="shared" si="424"/>
        <v>60.661158374334143</v>
      </c>
      <c r="CV59" s="1392">
        <f t="shared" si="424"/>
        <v>60.661170918558277</v>
      </c>
      <c r="CW59" s="1392">
        <f t="shared" si="424"/>
        <v>60.661200646942355</v>
      </c>
      <c r="CX59" s="1392">
        <f t="shared" si="424"/>
        <v>60.661252608567743</v>
      </c>
      <c r="CY59" s="1392">
        <f t="shared" si="424"/>
        <v>60.66132389571203</v>
      </c>
      <c r="CZ59" s="1392">
        <f t="shared" si="424"/>
        <v>60.661443469283711</v>
      </c>
      <c r="DA59" s="1392">
        <f t="shared" si="424"/>
        <v>60.661416997112454</v>
      </c>
      <c r="DB59" s="1392">
        <f t="shared" si="424"/>
        <v>60.661480017479853</v>
      </c>
      <c r="DC59" s="1392">
        <f t="shared" si="424"/>
        <v>60.661555835312043</v>
      </c>
      <c r="DD59" s="1392">
        <f t="shared" si="424"/>
        <v>60.661565220402743</v>
      </c>
      <c r="DE59" s="1392">
        <f t="shared" si="424"/>
        <v>60.661669956441145</v>
      </c>
      <c r="DF59" s="1392">
        <f t="shared" si="424"/>
        <v>60.661676386061416</v>
      </c>
      <c r="DG59" s="1392">
        <f t="shared" si="424"/>
        <v>60.661674004116783</v>
      </c>
      <c r="DH59" s="1392">
        <f t="shared" si="424"/>
        <v>60.661763381310791</v>
      </c>
      <c r="DI59" s="1392">
        <f t="shared" si="424"/>
        <v>60.661810082696242</v>
      </c>
      <c r="DJ59" s="1392">
        <f t="shared" si="424"/>
        <v>60.661833816421883</v>
      </c>
      <c r="DK59" s="1392">
        <f t="shared" si="424"/>
        <v>60.661926682285461</v>
      </c>
      <c r="DL59" s="1392">
        <f t="shared" si="424"/>
        <v>60.661974306364357</v>
      </c>
      <c r="DM59" s="1392">
        <f t="shared" si="424"/>
        <v>60.66202453167211</v>
      </c>
      <c r="DN59" s="1392">
        <f t="shared" si="424"/>
        <v>60.662103538418407</v>
      </c>
      <c r="DO59" s="1392">
        <f t="shared" si="424"/>
        <v>60.662204035159824</v>
      </c>
      <c r="DP59" s="1392">
        <f t="shared" si="424"/>
        <v>60.66218569738556</v>
      </c>
      <c r="DQ59" s="1392">
        <f t="shared" si="424"/>
        <v>60.661421530635259</v>
      </c>
      <c r="DR59" s="1392">
        <f t="shared" si="424"/>
        <v>60.662273156050453</v>
      </c>
      <c r="DS59" s="1392">
        <f t="shared" si="424"/>
        <v>60.662270663855566</v>
      </c>
      <c r="DT59" s="1392">
        <f t="shared" si="424"/>
        <v>2.4562158271361506E-8</v>
      </c>
      <c r="DU59" s="1392">
        <f t="shared" si="424"/>
        <v>0</v>
      </c>
      <c r="DV59" s="1392">
        <f t="shared" si="424"/>
        <v>0</v>
      </c>
      <c r="DW59" s="1392">
        <f t="shared" si="424"/>
        <v>0</v>
      </c>
      <c r="DX59" s="1392">
        <f t="shared" si="424"/>
        <v>0</v>
      </c>
      <c r="DY59" s="1392">
        <f t="shared" si="424"/>
        <v>0</v>
      </c>
      <c r="DZ59" s="1392">
        <f t="shared" si="424"/>
        <v>0</v>
      </c>
      <c r="EA59" s="1392">
        <f t="shared" si="424"/>
        <v>0</v>
      </c>
      <c r="EB59" s="1392">
        <f t="shared" si="424"/>
        <v>0</v>
      </c>
      <c r="EC59" s="1392">
        <f t="shared" si="424"/>
        <v>0</v>
      </c>
      <c r="ED59" s="1392">
        <f t="shared" ref="ED59:ER59" si="425">FJ135</f>
        <v>4.0410117034835207E-2</v>
      </c>
      <c r="EE59" s="1392">
        <f t="shared" si="425"/>
        <v>0</v>
      </c>
      <c r="EF59" s="1392">
        <f t="shared" si="425"/>
        <v>5.3611999084731653E-3</v>
      </c>
      <c r="EG59" s="1392">
        <f t="shared" si="425"/>
        <v>0</v>
      </c>
      <c r="EH59" s="1392">
        <f t="shared" si="425"/>
        <v>4.7010346231834676E-7</v>
      </c>
      <c r="EI59" s="1392">
        <f t="shared" si="425"/>
        <v>0</v>
      </c>
      <c r="EJ59" s="1392">
        <f t="shared" si="425"/>
        <v>8.6067622856811742E-7</v>
      </c>
      <c r="EK59" s="1392">
        <f t="shared" si="425"/>
        <v>142.42381053584</v>
      </c>
      <c r="EL59" s="1392">
        <f t="shared" si="425"/>
        <v>2.4399953056006946E-4</v>
      </c>
      <c r="EM59" s="1392">
        <f t="shared" si="425"/>
        <v>2.3994649993513918E-4</v>
      </c>
      <c r="EN59" s="1392">
        <f t="shared" si="425"/>
        <v>5.4801739816582717E-3</v>
      </c>
      <c r="EO59" s="1392">
        <f t="shared" si="425"/>
        <v>0</v>
      </c>
      <c r="EP59" s="1392">
        <f t="shared" si="425"/>
        <v>0</v>
      </c>
      <c r="EQ59" s="1392">
        <f t="shared" si="425"/>
        <v>0</v>
      </c>
      <c r="ER59" s="1393">
        <f t="shared" si="425"/>
        <v>141.24086077105611</v>
      </c>
      <c r="ES59" s="377"/>
      <c r="ET59" s="316">
        <f t="shared" si="335"/>
        <v>1</v>
      </c>
      <c r="EU59" s="1392">
        <f t="shared" si="20"/>
        <v>1</v>
      </c>
      <c r="EV59" s="1392">
        <f t="shared" si="21"/>
        <v>1</v>
      </c>
      <c r="EW59" s="1392">
        <f t="shared" si="22"/>
        <v>1</v>
      </c>
      <c r="EX59" s="1392">
        <f t="shared" si="23"/>
        <v>1</v>
      </c>
      <c r="EY59" s="1392">
        <f t="shared" si="24"/>
        <v>1</v>
      </c>
      <c r="EZ59" s="1392">
        <f t="shared" si="25"/>
        <v>1</v>
      </c>
      <c r="FA59" s="1392">
        <f t="shared" si="26"/>
        <v>1</v>
      </c>
      <c r="FB59" s="1392">
        <f t="shared" si="27"/>
        <v>1</v>
      </c>
      <c r="FC59" s="1392">
        <f t="shared" si="28"/>
        <v>1</v>
      </c>
      <c r="FD59" s="1392">
        <f t="shared" si="29"/>
        <v>1</v>
      </c>
      <c r="FE59" s="1392">
        <f t="shared" si="30"/>
        <v>1</v>
      </c>
      <c r="FF59" s="1392">
        <f t="shared" si="31"/>
        <v>1</v>
      </c>
      <c r="FG59" s="1392">
        <f t="shared" si="32"/>
        <v>1</v>
      </c>
      <c r="FH59" s="1392">
        <f t="shared" si="33"/>
        <v>1</v>
      </c>
      <c r="FI59" s="1392">
        <f t="shared" si="34"/>
        <v>1</v>
      </c>
      <c r="FJ59" s="1392">
        <f t="shared" si="35"/>
        <v>1</v>
      </c>
      <c r="FK59" s="1392">
        <f t="shared" si="36"/>
        <v>1</v>
      </c>
      <c r="FL59" s="1392">
        <f t="shared" si="37"/>
        <v>1</v>
      </c>
      <c r="FM59" s="1392">
        <f t="shared" si="38"/>
        <v>1</v>
      </c>
      <c r="FN59" s="1392">
        <f t="shared" si="39"/>
        <v>1</v>
      </c>
      <c r="FO59" s="1392">
        <f t="shared" si="40"/>
        <v>1</v>
      </c>
      <c r="FP59" s="1392">
        <f t="shared" si="41"/>
        <v>1</v>
      </c>
      <c r="FQ59" s="1392">
        <f t="shared" si="42"/>
        <v>1</v>
      </c>
      <c r="FR59" s="1392">
        <f t="shared" si="43"/>
        <v>1</v>
      </c>
      <c r="FS59" s="1392">
        <f t="shared" si="44"/>
        <v>1</v>
      </c>
      <c r="FT59" s="1392">
        <f t="shared" si="45"/>
        <v>1</v>
      </c>
      <c r="FU59" s="1392">
        <f t="shared" si="46"/>
        <v>1</v>
      </c>
      <c r="FV59" s="1392">
        <f t="shared" si="47"/>
        <v>1</v>
      </c>
      <c r="FW59" s="1392">
        <f t="shared" si="48"/>
        <v>1</v>
      </c>
      <c r="FX59" s="1392">
        <f t="shared" si="49"/>
        <v>1</v>
      </c>
      <c r="FY59" s="1392">
        <f t="shared" si="50"/>
        <v>1</v>
      </c>
      <c r="FZ59" s="1392">
        <f t="shared" si="51"/>
        <v>1</v>
      </c>
      <c r="GA59" s="1392">
        <f t="shared" si="52"/>
        <v>1</v>
      </c>
      <c r="GB59" s="1392">
        <f t="shared" si="53"/>
        <v>1</v>
      </c>
      <c r="GC59" s="1392">
        <f t="shared" si="54"/>
        <v>1</v>
      </c>
      <c r="GD59" s="1392">
        <f t="shared" si="55"/>
        <v>1</v>
      </c>
      <c r="GE59" s="1392">
        <f t="shared" si="56"/>
        <v>1</v>
      </c>
      <c r="GF59" s="1392">
        <f t="shared" si="57"/>
        <v>1</v>
      </c>
      <c r="GG59" s="1392">
        <f t="shared" si="58"/>
        <v>1</v>
      </c>
      <c r="GH59" s="1392">
        <f t="shared" si="59"/>
        <v>1</v>
      </c>
      <c r="GI59" s="1392">
        <f t="shared" si="60"/>
        <v>1</v>
      </c>
      <c r="GJ59" s="1392">
        <f t="shared" si="61"/>
        <v>1</v>
      </c>
      <c r="GK59" s="1392">
        <f t="shared" si="62"/>
        <v>1</v>
      </c>
      <c r="GL59" s="1392">
        <f t="shared" si="63"/>
        <v>1</v>
      </c>
      <c r="GM59" s="1392">
        <f t="shared" si="64"/>
        <v>1</v>
      </c>
      <c r="GN59" s="1392">
        <f t="shared" si="65"/>
        <v>1</v>
      </c>
      <c r="GO59" s="1392">
        <f t="shared" si="66"/>
        <v>1</v>
      </c>
      <c r="GP59" s="1392">
        <f t="shared" si="67"/>
        <v>1</v>
      </c>
      <c r="GQ59" s="1392">
        <f t="shared" si="68"/>
        <v>1</v>
      </c>
      <c r="GR59" s="1392">
        <f t="shared" si="69"/>
        <v>1</v>
      </c>
      <c r="GS59" s="1392">
        <f t="shared" si="70"/>
        <v>1</v>
      </c>
      <c r="GT59" s="1392">
        <f t="shared" si="71"/>
        <v>1</v>
      </c>
      <c r="GU59" s="1392">
        <f t="shared" si="72"/>
        <v>1</v>
      </c>
      <c r="GV59" s="1392">
        <f t="shared" si="73"/>
        <v>1</v>
      </c>
      <c r="GW59" s="1392">
        <f t="shared" si="74"/>
        <v>1</v>
      </c>
      <c r="GX59" s="1392">
        <f t="shared" si="75"/>
        <v>1</v>
      </c>
      <c r="GY59" s="1392">
        <f t="shared" si="76"/>
        <v>1</v>
      </c>
      <c r="GZ59" s="1392">
        <f t="shared" si="77"/>
        <v>1</v>
      </c>
      <c r="HA59" s="1392">
        <f t="shared" si="78"/>
        <v>1</v>
      </c>
      <c r="HB59" s="1392">
        <f t="shared" si="79"/>
        <v>1</v>
      </c>
      <c r="HC59" s="1392">
        <f t="shared" si="80"/>
        <v>1</v>
      </c>
      <c r="HD59" s="1392">
        <f t="shared" si="81"/>
        <v>1</v>
      </c>
      <c r="HE59" s="1392">
        <f t="shared" si="82"/>
        <v>1</v>
      </c>
      <c r="HF59" s="1392">
        <f t="shared" si="83"/>
        <v>1</v>
      </c>
      <c r="HG59" s="1392">
        <f t="shared" si="84"/>
        <v>1</v>
      </c>
      <c r="HH59" s="1392">
        <f t="shared" si="85"/>
        <v>1</v>
      </c>
      <c r="HI59" s="1392">
        <f t="shared" si="86"/>
        <v>1</v>
      </c>
      <c r="HJ59" s="1392">
        <f t="shared" si="87"/>
        <v>1</v>
      </c>
      <c r="HK59" s="1392">
        <f t="shared" si="88"/>
        <v>1</v>
      </c>
      <c r="HL59" s="1392">
        <f t="shared" si="89"/>
        <v>1</v>
      </c>
      <c r="HM59" s="1392">
        <f t="shared" si="90"/>
        <v>1</v>
      </c>
      <c r="HN59" s="1392">
        <f t="shared" si="91"/>
        <v>3855496.2266693576</v>
      </c>
      <c r="HO59" s="1392">
        <f t="shared" si="92"/>
        <v>3855593.0565146049</v>
      </c>
      <c r="HP59" s="1392">
        <f t="shared" si="93"/>
        <v>3855586.6389507684</v>
      </c>
      <c r="HQ59" s="1392">
        <f t="shared" si="94"/>
        <v>3855671.6968075098</v>
      </c>
      <c r="HR59" s="1392">
        <f t="shared" si="95"/>
        <v>3855721.1192398374</v>
      </c>
      <c r="HS59" s="1392">
        <f t="shared" si="96"/>
        <v>3855785.3945294488</v>
      </c>
      <c r="HT59" s="1392">
        <f t="shared" si="97"/>
        <v>3855791.3277559266</v>
      </c>
      <c r="HU59" s="1392">
        <f t="shared" si="98"/>
        <v>3855930.0124213221</v>
      </c>
      <c r="HV59" s="1392">
        <f t="shared" si="99"/>
        <v>3855146.3165806904</v>
      </c>
      <c r="HW59" s="1392">
        <f t="shared" si="100"/>
        <v>3855173.6955300174</v>
      </c>
      <c r="HX59" s="1392">
        <f t="shared" si="101"/>
        <v>3855997.1049773511</v>
      </c>
      <c r="HY59" s="1392">
        <f t="shared" si="102"/>
        <v>3855228.727373166</v>
      </c>
      <c r="HZ59" s="1392">
        <f t="shared" si="103"/>
        <v>3855312.2425817521</v>
      </c>
      <c r="IA59" s="1392">
        <f t="shared" si="104"/>
        <v>3856070.4716916219</v>
      </c>
      <c r="IB59" s="1392">
        <f t="shared" si="105"/>
        <v>3855404.8967095623</v>
      </c>
      <c r="IC59" s="1392">
        <f t="shared" si="106"/>
        <v>3856166.3941174182</v>
      </c>
      <c r="ID59" s="1392">
        <f t="shared" si="107"/>
        <v>3856290.8109915839</v>
      </c>
      <c r="IE59" s="1392">
        <f t="shared" si="108"/>
        <v>3856294.1871194323</v>
      </c>
      <c r="IF59" s="1392">
        <f t="shared" si="109"/>
        <v>3856375.4574793694</v>
      </c>
      <c r="IG59" s="1392">
        <f t="shared" si="110"/>
        <v>3856445.7905393555</v>
      </c>
      <c r="IH59" s="1392">
        <f t="shared" si="111"/>
        <v>3856474.6473068749</v>
      </c>
      <c r="II59" s="1392">
        <f t="shared" si="112"/>
        <v>3856498.4654253959</v>
      </c>
      <c r="IJ59" s="1392">
        <f t="shared" si="113"/>
        <v>3856573.2712163012</v>
      </c>
      <c r="IK59" s="1392">
        <f t="shared" si="114"/>
        <v>3856585.3656651415</v>
      </c>
      <c r="IL59" s="1392">
        <f t="shared" si="115"/>
        <v>3856614.0282843979</v>
      </c>
      <c r="IM59" s="1392">
        <f t="shared" si="116"/>
        <v>3856664.1275931536</v>
      </c>
      <c r="IN59" s="1392">
        <f t="shared" si="117"/>
        <v>3856732.8608486592</v>
      </c>
      <c r="IO59" s="1392">
        <f t="shared" si="118"/>
        <v>3856848.1534026908</v>
      </c>
      <c r="IP59" s="1392">
        <f t="shared" si="119"/>
        <v>3856822.6287009455</v>
      </c>
      <c r="IQ59" s="1392">
        <f t="shared" si="120"/>
        <v>3856883.3937743874</v>
      </c>
      <c r="IR59" s="1392">
        <f t="shared" si="121"/>
        <v>3856956.4996017078</v>
      </c>
      <c r="IS59" s="1392">
        <f t="shared" si="122"/>
        <v>3856965.5490839668</v>
      </c>
      <c r="IT59" s="1392">
        <f t="shared" si="123"/>
        <v>3857066.5412291172</v>
      </c>
      <c r="IU59" s="1392">
        <f t="shared" si="124"/>
        <v>3857072.7411024049</v>
      </c>
      <c r="IV59" s="1392">
        <f t="shared" si="125"/>
        <v>3857070.4442696604</v>
      </c>
      <c r="IW59" s="1392">
        <f t="shared" si="126"/>
        <v>3857156.6287658731</v>
      </c>
      <c r="IX59" s="1392">
        <f t="shared" si="127"/>
        <v>3857201.6626683814</v>
      </c>
      <c r="IY59" s="1392">
        <f t="shared" si="128"/>
        <v>3857224.5491777798</v>
      </c>
      <c r="IZ59" s="1392">
        <f t="shared" si="129"/>
        <v>3857314.101339512</v>
      </c>
      <c r="JA59" s="1392">
        <f t="shared" si="130"/>
        <v>3857360.0268706786</v>
      </c>
      <c r="JB59" s="1392">
        <f t="shared" si="131"/>
        <v>3857408.4614483737</v>
      </c>
      <c r="JC59" s="1392">
        <f t="shared" si="132"/>
        <v>3857484.6525237421</v>
      </c>
      <c r="JD59" s="1392">
        <f t="shared" si="133"/>
        <v>3857581.5699006338</v>
      </c>
      <c r="JE59" s="1392">
        <f t="shared" si="134"/>
        <v>3857563.8850761624</v>
      </c>
      <c r="JF59" s="1392">
        <f t="shared" si="135"/>
        <v>3856826.9999517584</v>
      </c>
      <c r="JG59" s="1392">
        <f t="shared" si="136"/>
        <v>3857648.2303450322</v>
      </c>
      <c r="JH59" s="1392">
        <f t="shared" si="137"/>
        <v>3857645.8268429814</v>
      </c>
      <c r="JI59" s="1392">
        <f t="shared" si="138"/>
        <v>1.0000000061405396</v>
      </c>
      <c r="JJ59" s="1392">
        <f t="shared" si="139"/>
        <v>1</v>
      </c>
      <c r="JK59" s="1392">
        <f t="shared" si="140"/>
        <v>1</v>
      </c>
      <c r="JL59" s="1392">
        <f t="shared" si="141"/>
        <v>1</v>
      </c>
      <c r="JM59" s="1392">
        <f t="shared" si="142"/>
        <v>1</v>
      </c>
      <c r="JN59" s="1392">
        <f t="shared" si="143"/>
        <v>1</v>
      </c>
      <c r="JO59" s="1392">
        <f t="shared" si="144"/>
        <v>1</v>
      </c>
      <c r="JP59" s="1392">
        <f t="shared" si="145"/>
        <v>1</v>
      </c>
      <c r="JQ59" s="1392">
        <f t="shared" si="146"/>
        <v>1</v>
      </c>
      <c r="JR59" s="1392">
        <f t="shared" si="147"/>
        <v>1</v>
      </c>
      <c r="JS59" s="1392">
        <f t="shared" si="148"/>
        <v>1.0101537320881888</v>
      </c>
      <c r="JT59" s="1392">
        <f t="shared" si="149"/>
        <v>1</v>
      </c>
      <c r="JU59" s="1392">
        <f t="shared" si="150"/>
        <v>1.0013411985805538</v>
      </c>
      <c r="JV59" s="1392">
        <f t="shared" si="151"/>
        <v>1</v>
      </c>
      <c r="JW59" s="1392">
        <f t="shared" si="152"/>
        <v>1.0000001175258726</v>
      </c>
      <c r="JX59" s="1392">
        <f t="shared" si="153"/>
        <v>1</v>
      </c>
      <c r="JY59" s="1392">
        <f t="shared" si="154"/>
        <v>1.0000002151690803</v>
      </c>
      <c r="JZ59" s="1392">
        <f t="shared" si="155"/>
        <v>2907158777328750.5</v>
      </c>
      <c r="KA59" s="1392">
        <f t="shared" si="156"/>
        <v>1.0000610017431706</v>
      </c>
      <c r="KB59" s="1392">
        <f t="shared" si="157"/>
        <v>1.0000599884242174</v>
      </c>
      <c r="KC59" s="1392">
        <f t="shared" si="158"/>
        <v>1.0013709824337507</v>
      </c>
      <c r="KD59" s="1392">
        <f t="shared" si="159"/>
        <v>1</v>
      </c>
      <c r="KE59" s="1392">
        <f t="shared" si="160"/>
        <v>1</v>
      </c>
      <c r="KF59" s="1392">
        <f t="shared" si="161"/>
        <v>1</v>
      </c>
      <c r="KG59" s="1399">
        <f t="shared" si="162"/>
        <v>2162875957415573.8</v>
      </c>
      <c r="KH59" s="1406">
        <f t="shared" si="163"/>
        <v>5070034916000146</v>
      </c>
      <c r="KI59" s="377"/>
      <c r="KJ59" s="1444">
        <f t="shared" si="164"/>
        <v>144.64849639710042</v>
      </c>
      <c r="KK59" s="49">
        <f t="shared" ca="1" si="165"/>
        <v>53.816457542620356</v>
      </c>
      <c r="KL59" s="377"/>
      <c r="KM59" s="908">
        <f t="shared" si="166"/>
        <v>1.9723730044623053E-16</v>
      </c>
      <c r="KN59" s="1411">
        <f t="shared" si="167"/>
        <v>1.9723730044623053E-16</v>
      </c>
      <c r="KO59" s="1411">
        <f t="shared" si="168"/>
        <v>1.9723730044623053E-16</v>
      </c>
      <c r="KP59" s="1411">
        <f t="shared" si="169"/>
        <v>1.9723730044623053E-16</v>
      </c>
      <c r="KQ59" s="1411">
        <f t="shared" si="170"/>
        <v>1.9723730044623053E-16</v>
      </c>
      <c r="KR59" s="1411">
        <f t="shared" si="171"/>
        <v>1.9723730044623053E-16</v>
      </c>
      <c r="KS59" s="1411">
        <f t="shared" si="172"/>
        <v>1.9723730044623053E-16</v>
      </c>
      <c r="KT59" s="1411">
        <f t="shared" si="173"/>
        <v>1.9723730044623053E-16</v>
      </c>
      <c r="KU59" s="1411">
        <f t="shared" si="174"/>
        <v>1.9723730044623053E-16</v>
      </c>
      <c r="KV59" s="1411">
        <f t="shared" si="175"/>
        <v>1.9723730044623053E-16</v>
      </c>
      <c r="KW59" s="1411">
        <f t="shared" si="176"/>
        <v>1.9723730044623053E-16</v>
      </c>
      <c r="KX59" s="1411">
        <f t="shared" si="177"/>
        <v>1.9723730044623053E-16</v>
      </c>
      <c r="KY59" s="1411">
        <f t="shared" si="178"/>
        <v>1.9723730044623053E-16</v>
      </c>
      <c r="KZ59" s="1411">
        <f t="shared" si="179"/>
        <v>1.9723730044623053E-16</v>
      </c>
      <c r="LA59" s="1411">
        <f t="shared" si="180"/>
        <v>1.9723730044623053E-16</v>
      </c>
      <c r="LB59" s="1411">
        <f t="shared" si="181"/>
        <v>1.9723730044623053E-16</v>
      </c>
      <c r="LC59" s="1411">
        <f t="shared" si="182"/>
        <v>1.9723730044623053E-16</v>
      </c>
      <c r="LD59" s="1411">
        <f t="shared" si="183"/>
        <v>1.9723730044623053E-16</v>
      </c>
      <c r="LE59" s="1411">
        <f t="shared" si="184"/>
        <v>1.9723730044623053E-16</v>
      </c>
      <c r="LF59" s="1411">
        <f t="shared" si="185"/>
        <v>1.9723730044623053E-16</v>
      </c>
      <c r="LG59" s="1411">
        <f t="shared" si="186"/>
        <v>1.9723730044623053E-16</v>
      </c>
      <c r="LH59" s="1411">
        <f t="shared" si="187"/>
        <v>1.9723730044623053E-16</v>
      </c>
      <c r="LI59" s="1411">
        <f t="shared" si="188"/>
        <v>1.9723730044623053E-16</v>
      </c>
      <c r="LJ59" s="1411">
        <f t="shared" si="189"/>
        <v>1.9723730044623053E-16</v>
      </c>
      <c r="LK59" s="1411">
        <f t="shared" si="190"/>
        <v>1.9723730044623053E-16</v>
      </c>
      <c r="LL59" s="1411">
        <f t="shared" si="191"/>
        <v>1.9723730044623053E-16</v>
      </c>
      <c r="LM59" s="1411">
        <f t="shared" si="192"/>
        <v>1.9723730044623053E-16</v>
      </c>
      <c r="LN59" s="1411">
        <f t="shared" si="193"/>
        <v>1.9723730044623053E-16</v>
      </c>
      <c r="LO59" s="1411">
        <f t="shared" si="194"/>
        <v>1.9723730044623053E-16</v>
      </c>
      <c r="LP59" s="1411">
        <f t="shared" si="195"/>
        <v>1.9723730044623053E-16</v>
      </c>
      <c r="LQ59" s="1411">
        <f t="shared" si="196"/>
        <v>1.9723730044623053E-16</v>
      </c>
      <c r="LR59" s="1411">
        <f t="shared" si="197"/>
        <v>1.9723730044623053E-16</v>
      </c>
      <c r="LS59" s="1411">
        <f t="shared" si="198"/>
        <v>1.9723730044623053E-16</v>
      </c>
      <c r="LT59" s="1411">
        <f t="shared" si="199"/>
        <v>1.9723730044623053E-16</v>
      </c>
      <c r="LU59" s="1411">
        <f t="shared" si="200"/>
        <v>1.9723730044623053E-16</v>
      </c>
      <c r="LV59" s="1411">
        <f t="shared" si="201"/>
        <v>1.9723730044623053E-16</v>
      </c>
      <c r="LW59" s="1411">
        <f t="shared" si="202"/>
        <v>1.9723730044623053E-16</v>
      </c>
      <c r="LX59" s="1411">
        <f t="shared" si="203"/>
        <v>1.9723730044623053E-16</v>
      </c>
      <c r="LY59" s="1411">
        <f t="shared" si="204"/>
        <v>1.9723730044623053E-16</v>
      </c>
      <c r="LZ59" s="1411">
        <f t="shared" si="205"/>
        <v>1.9723730044623053E-16</v>
      </c>
      <c r="MA59" s="1411">
        <f t="shared" si="206"/>
        <v>1.9723730044623053E-16</v>
      </c>
      <c r="MB59" s="1411">
        <f t="shared" si="207"/>
        <v>1.9723730044623053E-16</v>
      </c>
      <c r="MC59" s="1411">
        <f t="shared" si="208"/>
        <v>1.9723730044623053E-16</v>
      </c>
      <c r="MD59" s="1411">
        <f t="shared" si="209"/>
        <v>1.9723730044623053E-16</v>
      </c>
      <c r="ME59" s="1411">
        <f t="shared" si="210"/>
        <v>1.9723730044623053E-16</v>
      </c>
      <c r="MF59" s="1411">
        <f t="shared" si="211"/>
        <v>1.9723730044623053E-16</v>
      </c>
      <c r="MG59" s="1411">
        <f t="shared" si="212"/>
        <v>1.9723730044623053E-16</v>
      </c>
      <c r="MH59" s="1411">
        <f t="shared" si="213"/>
        <v>1.9723730044623053E-16</v>
      </c>
      <c r="MI59" s="1411">
        <f t="shared" si="214"/>
        <v>1.9723730044623053E-16</v>
      </c>
      <c r="MJ59" s="1411">
        <f t="shared" si="215"/>
        <v>1.9723730044623053E-16</v>
      </c>
      <c r="MK59" s="1411">
        <f t="shared" si="216"/>
        <v>1.9723730044623053E-16</v>
      </c>
      <c r="ML59" s="1411">
        <f t="shared" si="217"/>
        <v>1.9723730044623053E-16</v>
      </c>
      <c r="MM59" s="1411">
        <f t="shared" si="218"/>
        <v>1.9723730044623053E-16</v>
      </c>
      <c r="MN59" s="1411">
        <f t="shared" si="219"/>
        <v>1.9723730044623053E-16</v>
      </c>
      <c r="MO59" s="1411">
        <f t="shared" si="220"/>
        <v>1.9723730044623053E-16</v>
      </c>
      <c r="MP59" s="1411">
        <f t="shared" si="221"/>
        <v>1.9723730044623053E-16</v>
      </c>
      <c r="MQ59" s="1411">
        <f t="shared" si="222"/>
        <v>1.9723730044623053E-16</v>
      </c>
      <c r="MR59" s="1411">
        <f t="shared" si="223"/>
        <v>1.9723730044623053E-16</v>
      </c>
      <c r="MS59" s="1411">
        <f t="shared" si="224"/>
        <v>1.9723730044623053E-16</v>
      </c>
      <c r="MT59" s="1411">
        <f t="shared" si="225"/>
        <v>1.9723730044623053E-16</v>
      </c>
      <c r="MU59" s="1411">
        <f t="shared" si="226"/>
        <v>1.9723730044623053E-16</v>
      </c>
      <c r="MV59" s="1411">
        <f t="shared" si="227"/>
        <v>1.9723730044623053E-16</v>
      </c>
      <c r="MW59" s="1411">
        <f t="shared" si="228"/>
        <v>1.9723730044623053E-16</v>
      </c>
      <c r="MX59" s="1411">
        <f t="shared" si="229"/>
        <v>1.9723730044623053E-16</v>
      </c>
      <c r="MY59" s="1411">
        <f t="shared" si="230"/>
        <v>1.9723730044623053E-16</v>
      </c>
      <c r="MZ59" s="1411">
        <f t="shared" si="231"/>
        <v>1.9723730044623053E-16</v>
      </c>
      <c r="NA59" s="1411">
        <f t="shared" si="232"/>
        <v>1.9723730044623053E-16</v>
      </c>
      <c r="NB59" s="1411">
        <f t="shared" si="233"/>
        <v>1.9723730044623053E-16</v>
      </c>
      <c r="NC59" s="1411">
        <f t="shared" si="234"/>
        <v>1.9723730044623053E-16</v>
      </c>
      <c r="ND59" s="1411">
        <f t="shared" si="235"/>
        <v>1.9723730044623053E-16</v>
      </c>
      <c r="NE59" s="1411">
        <f t="shared" si="236"/>
        <v>1.9723730044623053E-16</v>
      </c>
      <c r="NF59" s="1411">
        <f t="shared" si="237"/>
        <v>1.9723730044623053E-16</v>
      </c>
      <c r="NG59" s="1411">
        <f t="shared" si="238"/>
        <v>7.6044766762889221E-10</v>
      </c>
      <c r="NH59" s="1411">
        <f t="shared" si="239"/>
        <v>7.604667660861714E-10</v>
      </c>
      <c r="NI59" s="1411">
        <f t="shared" si="240"/>
        <v>7.6046550030320489E-10</v>
      </c>
      <c r="NJ59" s="1411">
        <f t="shared" si="241"/>
        <v>7.6048227688525034E-10</v>
      </c>
      <c r="NK59" s="1411">
        <f t="shared" si="242"/>
        <v>7.604920248323841E-10</v>
      </c>
      <c r="NL59" s="1411">
        <f t="shared" si="243"/>
        <v>7.6050470231699241E-10</v>
      </c>
      <c r="NM59" s="1411">
        <f t="shared" si="244"/>
        <v>7.6050587257056591E-10</v>
      </c>
      <c r="NN59" s="1411">
        <f t="shared" si="245"/>
        <v>7.6053322635958172E-10</v>
      </c>
      <c r="NO59" s="1411">
        <f t="shared" si="246"/>
        <v>7.6037865230760467E-10</v>
      </c>
      <c r="NP59" s="1411">
        <f t="shared" si="247"/>
        <v>7.6038405245765892E-10</v>
      </c>
      <c r="NQ59" s="1411">
        <f t="shared" si="248"/>
        <v>7.6054645951421293E-10</v>
      </c>
      <c r="NR59" s="1411">
        <f t="shared" si="249"/>
        <v>7.603949067898401E-10</v>
      </c>
      <c r="NS59" s="1411">
        <f t="shared" si="250"/>
        <v>7.6041137910412784E-10</v>
      </c>
      <c r="NT59" s="1411">
        <f t="shared" si="251"/>
        <v>7.6056093016687833E-10</v>
      </c>
      <c r="NU59" s="1411">
        <f t="shared" si="252"/>
        <v>7.6042965395417233E-10</v>
      </c>
      <c r="NV59" s="1411">
        <f t="shared" si="253"/>
        <v>7.6057984964719468E-10</v>
      </c>
      <c r="NW59" s="1411">
        <f t="shared" si="254"/>
        <v>7.6060438929558504E-10</v>
      </c>
      <c r="NX59" s="1411">
        <f t="shared" si="255"/>
        <v>7.6060505519392786E-10</v>
      </c>
      <c r="NY59" s="1411">
        <f t="shared" si="256"/>
        <v>7.6062108474032813E-10</v>
      </c>
      <c r="NZ59" s="1411">
        <f t="shared" si="257"/>
        <v>7.6063495704321194E-10</v>
      </c>
      <c r="OA59" s="1411">
        <f t="shared" si="258"/>
        <v>7.6064064867413698E-10</v>
      </c>
      <c r="OB59" s="1411">
        <f t="shared" si="259"/>
        <v>7.6064534649553583E-10</v>
      </c>
      <c r="OC59" s="1411">
        <f t="shared" si="260"/>
        <v>7.6066010098779176E-10</v>
      </c>
      <c r="OD59" s="1411">
        <f t="shared" si="261"/>
        <v>7.6066248646423132E-10</v>
      </c>
      <c r="OE59" s="1411">
        <f t="shared" si="262"/>
        <v>7.6066813980187722E-10</v>
      </c>
      <c r="OF59" s="1411">
        <f t="shared" si="263"/>
        <v>7.6067802125429043E-10</v>
      </c>
      <c r="OG59" s="1411">
        <f t="shared" si="264"/>
        <v>7.6069157801605724E-10</v>
      </c>
      <c r="OH59" s="1411">
        <f t="shared" si="265"/>
        <v>7.6071431800817593E-10</v>
      </c>
      <c r="OI59" s="1411">
        <f t="shared" si="266"/>
        <v>7.6070928358490901E-10</v>
      </c>
      <c r="OJ59" s="1411">
        <f t="shared" si="267"/>
        <v>7.6072126872395614E-10</v>
      </c>
      <c r="OK59" s="1411">
        <f t="shared" si="268"/>
        <v>7.6073568791998366E-10</v>
      </c>
      <c r="OL59" s="1411">
        <f t="shared" si="269"/>
        <v>7.6073747281543484E-10</v>
      </c>
      <c r="OM59" s="1411">
        <f t="shared" si="270"/>
        <v>7.6075739223351062E-10</v>
      </c>
      <c r="ON59" s="1411">
        <f t="shared" si="271"/>
        <v>7.6075861507978105E-10</v>
      </c>
      <c r="OO59" s="1411">
        <f t="shared" si="272"/>
        <v>7.6075816205869087E-10</v>
      </c>
      <c r="OP59" s="1411">
        <f t="shared" si="273"/>
        <v>7.6077516085606419E-10</v>
      </c>
      <c r="OQ59" s="1411">
        <f t="shared" si="274"/>
        <v>7.607840432214235E-10</v>
      </c>
      <c r="OR59" s="1411">
        <f t="shared" si="275"/>
        <v>7.607885572947539E-10</v>
      </c>
      <c r="OS59" s="1411">
        <f t="shared" si="276"/>
        <v>7.6080622032138303E-10</v>
      </c>
      <c r="OT59" s="1411">
        <f t="shared" si="277"/>
        <v>7.6081527854917197E-10</v>
      </c>
      <c r="OU59" s="1411">
        <f t="shared" si="278"/>
        <v>7.6082483165452477E-10</v>
      </c>
      <c r="OV59" s="1411">
        <f t="shared" si="279"/>
        <v>7.6083985937654852E-10</v>
      </c>
      <c r="OW59" s="1411">
        <f t="shared" si="280"/>
        <v>7.6085897509833294E-10</v>
      </c>
      <c r="OX59" s="1411">
        <f t="shared" si="281"/>
        <v>7.6085548699129541E-10</v>
      </c>
      <c r="OY59" s="1411">
        <f t="shared" si="282"/>
        <v>7.607101457586189E-10</v>
      </c>
      <c r="OZ59" s="1411">
        <f t="shared" si="283"/>
        <v>7.6087212302443269E-10</v>
      </c>
      <c r="PA59" s="1411">
        <f t="shared" si="284"/>
        <v>7.6087164896417651E-10</v>
      </c>
      <c r="PB59" s="1411">
        <f t="shared" si="285"/>
        <v>1.97237301657374E-16</v>
      </c>
      <c r="PC59" s="1411">
        <f t="shared" si="286"/>
        <v>1.9723730044623053E-16</v>
      </c>
      <c r="PD59" s="1411">
        <f t="shared" si="287"/>
        <v>1.9723730044623053E-16</v>
      </c>
      <c r="PE59" s="1411">
        <f t="shared" si="288"/>
        <v>1.9723730044623053E-16</v>
      </c>
      <c r="PF59" s="1411">
        <f t="shared" si="289"/>
        <v>1.9723730044623053E-16</v>
      </c>
      <c r="PG59" s="1411">
        <f t="shared" si="290"/>
        <v>1.9723730044623053E-16</v>
      </c>
      <c r="PH59" s="1411">
        <f t="shared" si="291"/>
        <v>1.9723730044623053E-16</v>
      </c>
      <c r="PI59" s="1411">
        <f t="shared" si="292"/>
        <v>1.9723730044623053E-16</v>
      </c>
      <c r="PJ59" s="1411">
        <f t="shared" si="293"/>
        <v>1.9723730044623053E-16</v>
      </c>
      <c r="PK59" s="1411">
        <f t="shared" si="294"/>
        <v>1.9723730044623053E-16</v>
      </c>
      <c r="PL59" s="1411">
        <f t="shared" si="295"/>
        <v>1.9923999515275918E-16</v>
      </c>
      <c r="PM59" s="1411">
        <f t="shared" si="296"/>
        <v>1.9723730044623053E-16</v>
      </c>
      <c r="PN59" s="1411">
        <f t="shared" si="297"/>
        <v>1.9750183483362129E-16</v>
      </c>
      <c r="PO59" s="1411">
        <f t="shared" si="298"/>
        <v>1.9723730044623053E-16</v>
      </c>
      <c r="PP59" s="1411">
        <f t="shared" si="299"/>
        <v>1.9723732362671639E-16</v>
      </c>
      <c r="PQ59" s="1411">
        <f t="shared" si="300"/>
        <v>1.9723730044623053E-16</v>
      </c>
      <c r="PR59" s="1411">
        <f t="shared" si="301"/>
        <v>1.9723734288559909E-16</v>
      </c>
      <c r="PS59" s="1411">
        <f t="shared" si="302"/>
        <v>0.57340014920888693</v>
      </c>
      <c r="PT59" s="1411">
        <f t="shared" si="303"/>
        <v>1.9724933226537603E-16</v>
      </c>
      <c r="PU59" s="1411">
        <f t="shared" si="304"/>
        <v>1.9724913240108119E-16</v>
      </c>
      <c r="PV59" s="1411">
        <f t="shared" si="305"/>
        <v>1.9750770932042273E-16</v>
      </c>
      <c r="PW59" s="1411">
        <f t="shared" si="306"/>
        <v>1.9723730044623053E-16</v>
      </c>
      <c r="PX59" s="1411">
        <f t="shared" si="307"/>
        <v>1.9723730044623053E-16</v>
      </c>
      <c r="PY59" s="1411">
        <f t="shared" si="308"/>
        <v>1.9723730044623053E-16</v>
      </c>
      <c r="PZ59" s="1412">
        <f t="shared" si="309"/>
        <v>0.42659981504070404</v>
      </c>
      <c r="QB59" s="33" t="s">
        <v>1072</v>
      </c>
      <c r="QC59" s="1432">
        <f t="shared" si="336"/>
        <v>9.4673904214190717E-15</v>
      </c>
      <c r="QD59" s="744">
        <f t="shared" si="337"/>
        <v>1.8252662723514688E-8</v>
      </c>
      <c r="QE59" s="1068">
        <f t="shared" si="338"/>
        <v>0.99999998174732796</v>
      </c>
      <c r="QF59" s="744">
        <f t="shared" si="339"/>
        <v>1.2171905511333077E-8</v>
      </c>
      <c r="QG59" s="744">
        <f t="shared" si="340"/>
        <v>1.1409737616681895E-8</v>
      </c>
      <c r="QH59" s="1068">
        <f t="shared" si="341"/>
        <v>0.99999997641835692</v>
      </c>
      <c r="QI59" s="744">
        <f t="shared" si="342"/>
        <v>1.7495184391829323E-8</v>
      </c>
      <c r="QJ59" s="1068">
        <f t="shared" si="343"/>
        <v>0.99999998250481581</v>
      </c>
      <c r="QK59" s="744">
        <f t="shared" si="344"/>
        <v>0.5734001674641086</v>
      </c>
      <c r="QL59" s="1068">
        <f t="shared" si="345"/>
        <v>0.42659983253589145</v>
      </c>
      <c r="QM59" s="744">
        <f t="shared" si="346"/>
        <v>0.57340016746415012</v>
      </c>
      <c r="QN59" s="1068">
        <f t="shared" si="347"/>
        <v>0.42659983253584988</v>
      </c>
      <c r="QO59" s="744">
        <f t="shared" si="348"/>
        <v>0.5734001674642758</v>
      </c>
      <c r="QP59" s="1068">
        <f t="shared" si="349"/>
        <v>0.42659983253572425</v>
      </c>
      <c r="QR59" s="1432">
        <f t="shared" si="350"/>
        <v>3.1557968071396893E-15</v>
      </c>
      <c r="QS59" s="744">
        <f t="shared" si="351"/>
        <v>3.1557968071396893E-15</v>
      </c>
      <c r="QT59" s="744">
        <f t="shared" si="352"/>
        <v>3.1557968071396893E-15</v>
      </c>
      <c r="QU59" s="743">
        <f t="shared" si="353"/>
        <v>3.1557968071396893E-15</v>
      </c>
      <c r="QV59" s="744">
        <f t="shared" si="354"/>
        <v>6.0838996148814469E-9</v>
      </c>
      <c r="QW59" s="744">
        <f t="shared" si="355"/>
        <v>1.2168759952836439E-8</v>
      </c>
      <c r="QX59" s="743">
        <f t="shared" si="356"/>
        <v>1.2171899199739462E-8</v>
      </c>
      <c r="QY59" s="744">
        <f t="shared" si="357"/>
        <v>5.3258348460036335E-9</v>
      </c>
      <c r="QZ59" s="745">
        <f t="shared" si="358"/>
        <v>0.99999996424959381</v>
      </c>
      <c r="RC59" s="744">
        <f t="shared" si="359"/>
        <v>1.5778984035698442E-15</v>
      </c>
      <c r="RD59" s="744">
        <f t="shared" si="360"/>
        <v>1.5778984035698442E-15</v>
      </c>
      <c r="RE59" s="744">
        <f t="shared" si="361"/>
        <v>1.5778984035698442E-15</v>
      </c>
      <c r="RF59" s="744">
        <f t="shared" si="362"/>
        <v>1.5778984035698442E-15</v>
      </c>
      <c r="RG59" s="744">
        <f t="shared" si="363"/>
        <v>6.0838980369830432E-9</v>
      </c>
      <c r="RH59" s="744">
        <f t="shared" si="364"/>
        <v>6.0850740688947491E-9</v>
      </c>
      <c r="RI59" s="744">
        <f t="shared" si="365"/>
        <v>6.0862434296147796E-9</v>
      </c>
      <c r="RJ59" s="744">
        <f t="shared" si="366"/>
        <v>1.5778984035698442E-15</v>
      </c>
      <c r="RK59" s="744">
        <f t="shared" si="367"/>
        <v>0.99999996424959225</v>
      </c>
      <c r="RL59" s="1251"/>
      <c r="RM59" s="744">
        <f t="shared" si="368"/>
        <v>1.5778984035698442E-15</v>
      </c>
      <c r="RN59" s="744">
        <f t="shared" si="369"/>
        <v>1.5778984035698442E-15</v>
      </c>
      <c r="RO59" s="744">
        <f t="shared" si="370"/>
        <v>1.5778984035698442E-15</v>
      </c>
      <c r="RP59" s="744">
        <f t="shared" si="371"/>
        <v>1.5778984035698442E-15</v>
      </c>
      <c r="RQ59" s="744">
        <f t="shared" si="372"/>
        <v>3.0420366150287258E-9</v>
      </c>
      <c r="RR59" s="744">
        <f t="shared" si="373"/>
        <v>6.084590395494069E-9</v>
      </c>
      <c r="RS59" s="744">
        <f t="shared" si="374"/>
        <v>6.0860978124310163E-9</v>
      </c>
      <c r="RT59" s="744">
        <f t="shared" si="375"/>
        <v>2.282454903933731E-9</v>
      </c>
      <c r="RU59" s="744">
        <f t="shared" si="376"/>
        <v>0.42659981504070543</v>
      </c>
      <c r="RV59" s="744"/>
      <c r="RW59" s="744">
        <f t="shared" si="377"/>
        <v>1.5778984035698442E-15</v>
      </c>
      <c r="RX59" s="744">
        <f t="shared" si="378"/>
        <v>1.5778984035698442E-15</v>
      </c>
      <c r="RY59" s="744">
        <f t="shared" si="379"/>
        <v>1.5778984035698442E-15</v>
      </c>
      <c r="RZ59" s="744">
        <f t="shared" si="380"/>
        <v>1.5778984035698442E-15</v>
      </c>
      <c r="SA59" s="744">
        <f t="shared" si="381"/>
        <v>3.0419876650678044E-9</v>
      </c>
      <c r="SB59" s="744">
        <f t="shared" si="382"/>
        <v>6.0845294991409838E-9</v>
      </c>
      <c r="SC59" s="744">
        <f t="shared" si="383"/>
        <v>6.0860338785449623E-9</v>
      </c>
      <c r="SD59" s="744">
        <f t="shared" si="384"/>
        <v>2.2825870972403079E-9</v>
      </c>
      <c r="SE59" s="744">
        <f t="shared" si="385"/>
        <v>0.42659981504070543</v>
      </c>
      <c r="SF59" s="744"/>
      <c r="SG59" s="744">
        <f t="shared" si="386"/>
        <v>1.5778984035698442E-15</v>
      </c>
      <c r="SH59" s="744">
        <f t="shared" si="387"/>
        <v>1.5778984035698442E-15</v>
      </c>
      <c r="SI59" s="744">
        <f t="shared" si="388"/>
        <v>1.5778984035698442E-15</v>
      </c>
      <c r="SJ59" s="744">
        <f t="shared" si="389"/>
        <v>1.5778984035698442E-15</v>
      </c>
      <c r="SK59" s="744">
        <f t="shared" si="390"/>
        <v>3.0419877605971976E-9</v>
      </c>
      <c r="SL59" s="744">
        <f t="shared" si="391"/>
        <v>6.0844675842584794E-9</v>
      </c>
      <c r="SM59" s="744">
        <f t="shared" si="392"/>
        <v>6.0859886925816288E-9</v>
      </c>
      <c r="SN59" s="744">
        <f t="shared" si="393"/>
        <v>2.2825684555787797E-9</v>
      </c>
      <c r="SO59" s="744">
        <f t="shared" si="394"/>
        <v>0.42659981504070543</v>
      </c>
      <c r="SP59" s="100"/>
      <c r="SQ59" s="7" t="s">
        <v>509</v>
      </c>
      <c r="SR59" s="1449">
        <f t="shared" si="395"/>
        <v>0.49999999999999989</v>
      </c>
      <c r="SS59" s="1449">
        <f t="shared" si="396"/>
        <v>0.49999999999999989</v>
      </c>
      <c r="ST59" s="1449">
        <f t="shared" si="397"/>
        <v>0.49999999999999989</v>
      </c>
      <c r="SU59" s="1449">
        <f t="shared" si="398"/>
        <v>0.49999999999999989</v>
      </c>
      <c r="SV59" s="1449">
        <f t="shared" si="399"/>
        <v>0.99999974064358332</v>
      </c>
      <c r="SW59" s="1449">
        <f t="shared" si="400"/>
        <v>0.50005703888310882</v>
      </c>
      <c r="SX59" s="1449">
        <f t="shared" si="401"/>
        <v>0.50002414000808149</v>
      </c>
      <c r="SY59" s="1449">
        <f t="shared" si="402"/>
        <v>2.9627249984175864E-7</v>
      </c>
      <c r="SZ59" s="1449">
        <f t="shared" si="403"/>
        <v>0.99999999999999845</v>
      </c>
      <c r="TA59" s="1449"/>
      <c r="TB59" s="1449">
        <f t="shared" si="404"/>
        <v>0.49999999999999989</v>
      </c>
      <c r="TC59" s="1449">
        <f t="shared" si="405"/>
        <v>0.49999999999999989</v>
      </c>
      <c r="TD59" s="1449">
        <f t="shared" si="406"/>
        <v>0.49999999999999989</v>
      </c>
      <c r="TE59" s="1449">
        <f t="shared" si="407"/>
        <v>0.49999999999999989</v>
      </c>
      <c r="TF59" s="1449">
        <f t="shared" si="408"/>
        <v>0.50001426841228447</v>
      </c>
      <c r="TG59" s="1449">
        <f t="shared" si="409"/>
        <v>0.50001729174350262</v>
      </c>
      <c r="TH59" s="1449">
        <f t="shared" si="410"/>
        <v>0.50001217661753961</v>
      </c>
      <c r="TI59" s="1449">
        <f t="shared" si="411"/>
        <v>0.42856283942909446</v>
      </c>
      <c r="TJ59" s="1449">
        <f t="shared" si="412"/>
        <v>0.42659983029182263</v>
      </c>
      <c r="TK59" s="1449"/>
      <c r="TL59" s="1449">
        <f t="shared" si="413"/>
        <v>0.49999999999999989</v>
      </c>
      <c r="TM59" s="1449">
        <f t="shared" si="414"/>
        <v>0.49999999999999989</v>
      </c>
      <c r="TN59" s="1449">
        <f t="shared" si="415"/>
        <v>0.49999999999999989</v>
      </c>
      <c r="TO59" s="1449">
        <f t="shared" si="416"/>
        <v>0.49999999999999989</v>
      </c>
      <c r="TP59" s="1449">
        <f t="shared" si="417"/>
        <v>0.50000622259233019</v>
      </c>
      <c r="TQ59" s="1449">
        <f t="shared" si="418"/>
        <v>0.50001228742479464</v>
      </c>
      <c r="TR59" s="1449">
        <f t="shared" si="419"/>
        <v>0.50000692403657376</v>
      </c>
      <c r="TS59" s="1449">
        <f t="shared" si="420"/>
        <v>0.42858766057176956</v>
      </c>
      <c r="TT59" s="1449">
        <f t="shared" si="421"/>
        <v>0.42659983029182263</v>
      </c>
      <c r="TU59" s="1449"/>
      <c r="TV59" s="1449">
        <f t="shared" si="422"/>
        <v>0.49999999999999989</v>
      </c>
      <c r="TW59" s="1449">
        <f t="shared" si="313"/>
        <v>0.49999999999999989</v>
      </c>
      <c r="TX59" s="1449">
        <f t="shared" si="314"/>
        <v>0.49999999999999989</v>
      </c>
      <c r="TY59" s="1449">
        <f t="shared" si="315"/>
        <v>0.49999999999999989</v>
      </c>
      <c r="TZ59" s="1449">
        <f t="shared" si="316"/>
        <v>0.50000623829433044</v>
      </c>
      <c r="UA59" s="1449">
        <f t="shared" si="317"/>
        <v>0.50000719940574057</v>
      </c>
      <c r="UB59" s="1449">
        <f t="shared" si="318"/>
        <v>0.50000321171834039</v>
      </c>
      <c r="UC59" s="1449">
        <f t="shared" si="319"/>
        <v>0.42858416033902347</v>
      </c>
      <c r="UD59" s="1439">
        <f t="shared" si="320"/>
        <v>0.42659983029182263</v>
      </c>
      <c r="UE59" s="7" t="s">
        <v>509</v>
      </c>
    </row>
    <row r="60" spans="3:551" s="7" customFormat="1" x14ac:dyDescent="0.25">
      <c r="C60" s="21" t="s">
        <v>509</v>
      </c>
      <c r="D60" s="1308">
        <v>44035</v>
      </c>
      <c r="E60" s="233">
        <f t="shared" ref="E60:AJ60" si="426">E59+AK136</f>
        <v>0</v>
      </c>
      <c r="F60" s="1392">
        <f t="shared" si="426"/>
        <v>0</v>
      </c>
      <c r="G60" s="1392">
        <f t="shared" si="426"/>
        <v>0</v>
      </c>
      <c r="H60" s="1392">
        <f t="shared" si="426"/>
        <v>0</v>
      </c>
      <c r="I60" s="1392">
        <f t="shared" si="426"/>
        <v>0</v>
      </c>
      <c r="J60" s="1392">
        <f t="shared" si="426"/>
        <v>0</v>
      </c>
      <c r="K60" s="1392">
        <f t="shared" si="426"/>
        <v>0</v>
      </c>
      <c r="L60" s="1392">
        <f t="shared" si="426"/>
        <v>0</v>
      </c>
      <c r="M60" s="1392">
        <f t="shared" si="426"/>
        <v>0</v>
      </c>
      <c r="N60" s="1392">
        <f t="shared" si="426"/>
        <v>0</v>
      </c>
      <c r="O60" s="1392">
        <f t="shared" si="426"/>
        <v>0</v>
      </c>
      <c r="P60" s="1392">
        <f t="shared" si="426"/>
        <v>0</v>
      </c>
      <c r="Q60" s="1392">
        <f t="shared" si="426"/>
        <v>0</v>
      </c>
      <c r="R60" s="1392">
        <f t="shared" si="426"/>
        <v>0</v>
      </c>
      <c r="S60" s="1392">
        <f t="shared" si="426"/>
        <v>0</v>
      </c>
      <c r="T60" s="1392">
        <f t="shared" si="426"/>
        <v>0</v>
      </c>
      <c r="U60" s="1392">
        <f t="shared" si="426"/>
        <v>0</v>
      </c>
      <c r="V60" s="1392">
        <f t="shared" si="426"/>
        <v>0</v>
      </c>
      <c r="W60" s="1392">
        <f t="shared" si="426"/>
        <v>0</v>
      </c>
      <c r="X60" s="1392">
        <f t="shared" si="426"/>
        <v>0</v>
      </c>
      <c r="Y60" s="1392">
        <f t="shared" si="426"/>
        <v>0</v>
      </c>
      <c r="Z60" s="1392">
        <f t="shared" si="426"/>
        <v>0</v>
      </c>
      <c r="AA60" s="1392">
        <f t="shared" si="426"/>
        <v>0</v>
      </c>
      <c r="AB60" s="1392">
        <f t="shared" si="426"/>
        <v>0</v>
      </c>
      <c r="AC60" s="1392">
        <f t="shared" si="426"/>
        <v>0</v>
      </c>
      <c r="AD60" s="1392">
        <f t="shared" si="426"/>
        <v>0</v>
      </c>
      <c r="AE60" s="1392">
        <f t="shared" si="426"/>
        <v>0</v>
      </c>
      <c r="AF60" s="1392">
        <f t="shared" si="426"/>
        <v>0</v>
      </c>
      <c r="AG60" s="1392">
        <f t="shared" si="426"/>
        <v>0</v>
      </c>
      <c r="AH60" s="1392">
        <f t="shared" si="426"/>
        <v>0</v>
      </c>
      <c r="AI60" s="1392">
        <f t="shared" si="426"/>
        <v>0</v>
      </c>
      <c r="AJ60" s="1392">
        <f t="shared" si="426"/>
        <v>0</v>
      </c>
      <c r="AK60" s="1392">
        <f t="shared" ref="AK60:BP60" si="427">AK59+BQ136</f>
        <v>0</v>
      </c>
      <c r="AL60" s="1392">
        <f t="shared" si="427"/>
        <v>0</v>
      </c>
      <c r="AM60" s="1392">
        <f t="shared" si="427"/>
        <v>0</v>
      </c>
      <c r="AN60" s="1392">
        <f t="shared" si="427"/>
        <v>0</v>
      </c>
      <c r="AO60" s="1392">
        <f t="shared" si="427"/>
        <v>0</v>
      </c>
      <c r="AP60" s="1392">
        <f t="shared" si="427"/>
        <v>0</v>
      </c>
      <c r="AQ60" s="1392">
        <f t="shared" si="427"/>
        <v>0</v>
      </c>
      <c r="AR60" s="1392">
        <f t="shared" si="427"/>
        <v>0</v>
      </c>
      <c r="AS60" s="1392">
        <f t="shared" si="427"/>
        <v>0</v>
      </c>
      <c r="AT60" s="1392">
        <f t="shared" si="427"/>
        <v>0</v>
      </c>
      <c r="AU60" s="1392">
        <f t="shared" si="427"/>
        <v>0</v>
      </c>
      <c r="AV60" s="1392">
        <f t="shared" si="427"/>
        <v>0</v>
      </c>
      <c r="AW60" s="1392">
        <f t="shared" si="427"/>
        <v>0</v>
      </c>
      <c r="AX60" s="1392">
        <f t="shared" si="427"/>
        <v>0</v>
      </c>
      <c r="AY60" s="1392">
        <f t="shared" si="427"/>
        <v>0</v>
      </c>
      <c r="AZ60" s="1392">
        <f t="shared" si="427"/>
        <v>0</v>
      </c>
      <c r="BA60" s="1392">
        <f t="shared" si="427"/>
        <v>0</v>
      </c>
      <c r="BB60" s="1392">
        <f t="shared" si="427"/>
        <v>0</v>
      </c>
      <c r="BC60" s="1392">
        <f t="shared" si="427"/>
        <v>0</v>
      </c>
      <c r="BD60" s="1392">
        <f t="shared" si="427"/>
        <v>0</v>
      </c>
      <c r="BE60" s="1392">
        <f t="shared" si="427"/>
        <v>0</v>
      </c>
      <c r="BF60" s="1392">
        <f t="shared" si="427"/>
        <v>0</v>
      </c>
      <c r="BG60" s="1392">
        <f t="shared" si="427"/>
        <v>0</v>
      </c>
      <c r="BH60" s="1392">
        <f t="shared" si="427"/>
        <v>0</v>
      </c>
      <c r="BI60" s="1392">
        <f t="shared" si="427"/>
        <v>0</v>
      </c>
      <c r="BJ60" s="1392">
        <f t="shared" si="427"/>
        <v>0</v>
      </c>
      <c r="BK60" s="1392">
        <f t="shared" si="427"/>
        <v>0</v>
      </c>
      <c r="BL60" s="1392">
        <f t="shared" si="427"/>
        <v>0</v>
      </c>
      <c r="BM60" s="1392">
        <f t="shared" si="427"/>
        <v>0</v>
      </c>
      <c r="BN60" s="1392">
        <f t="shared" si="427"/>
        <v>0</v>
      </c>
      <c r="BO60" s="1392">
        <f t="shared" si="427"/>
        <v>0</v>
      </c>
      <c r="BP60" s="1392">
        <f t="shared" si="427"/>
        <v>0</v>
      </c>
      <c r="BQ60" s="1392">
        <f t="shared" ref="BQ60:CV60" si="428">BQ59+CW136</f>
        <v>0</v>
      </c>
      <c r="BR60" s="1392">
        <f t="shared" si="428"/>
        <v>0</v>
      </c>
      <c r="BS60" s="1392">
        <f t="shared" si="428"/>
        <v>0</v>
      </c>
      <c r="BT60" s="1392">
        <f t="shared" si="428"/>
        <v>0</v>
      </c>
      <c r="BU60" s="1392">
        <f t="shared" si="428"/>
        <v>0</v>
      </c>
      <c r="BV60" s="1392">
        <f t="shared" si="428"/>
        <v>0</v>
      </c>
      <c r="BW60" s="1392">
        <f t="shared" si="428"/>
        <v>0</v>
      </c>
      <c r="BX60" s="1392">
        <f t="shared" si="428"/>
        <v>0</v>
      </c>
      <c r="BY60" s="1392">
        <f t="shared" si="428"/>
        <v>60.660041137598292</v>
      </c>
      <c r="BZ60" s="1392">
        <f t="shared" si="428"/>
        <v>60.660141576129021</v>
      </c>
      <c r="CA60" s="1392">
        <f t="shared" si="428"/>
        <v>60.660134918206055</v>
      </c>
      <c r="CB60" s="1392">
        <f t="shared" si="428"/>
        <v>60.660224141578553</v>
      </c>
      <c r="CC60" s="1392">
        <f t="shared" si="428"/>
        <v>60.660274471240577</v>
      </c>
      <c r="CD60" s="1392">
        <f t="shared" si="428"/>
        <v>60.660341151079336</v>
      </c>
      <c r="CE60" s="1392">
        <f t="shared" si="428"/>
        <v>60.660347268017084</v>
      </c>
      <c r="CF60" s="1392">
        <f t="shared" si="428"/>
        <v>60.66049114668602</v>
      </c>
      <c r="CG60" s="1392">
        <f t="shared" si="428"/>
        <v>60.659678129382598</v>
      </c>
      <c r="CH60" s="1392">
        <f t="shared" si="428"/>
        <v>60.659706504013556</v>
      </c>
      <c r="CI60" s="1392">
        <f t="shared" si="428"/>
        <v>60.660560735823324</v>
      </c>
      <c r="CJ60" s="1392">
        <f t="shared" si="428"/>
        <v>60.659763583586226</v>
      </c>
      <c r="CK60" s="1392">
        <f t="shared" si="428"/>
        <v>60.659850257002489</v>
      </c>
      <c r="CL60" s="1392">
        <f t="shared" si="428"/>
        <v>60.660636864686644</v>
      </c>
      <c r="CM60" s="1392">
        <f t="shared" si="428"/>
        <v>60.659946387233845</v>
      </c>
      <c r="CN60" s="1392">
        <f t="shared" si="428"/>
        <v>60.660736366221641</v>
      </c>
      <c r="CO60" s="1392">
        <f t="shared" si="428"/>
        <v>60.660865421718086</v>
      </c>
      <c r="CP60" s="1392">
        <f t="shared" si="428"/>
        <v>60.660868923659756</v>
      </c>
      <c r="CQ60" s="1392">
        <f t="shared" si="428"/>
        <v>60.660953221692665</v>
      </c>
      <c r="CR60" s="1392">
        <f t="shared" si="428"/>
        <v>60.661026173529848</v>
      </c>
      <c r="CS60" s="1392">
        <f t="shared" si="428"/>
        <v>60.661056104363702</v>
      </c>
      <c r="CT60" s="1392">
        <f t="shared" si="428"/>
        <v>60.661080808838278</v>
      </c>
      <c r="CU60" s="1392">
        <f t="shared" si="428"/>
        <v>60.661158397423954</v>
      </c>
      <c r="CV60" s="1392">
        <f t="shared" si="428"/>
        <v>60.661170941648088</v>
      </c>
      <c r="CW60" s="1392">
        <f t="shared" ref="CW60:EB60" si="429">CW59+EC136</f>
        <v>60.661200670032166</v>
      </c>
      <c r="CX60" s="1392">
        <f t="shared" si="429"/>
        <v>60.661252646814368</v>
      </c>
      <c r="CY60" s="1392">
        <f t="shared" si="429"/>
        <v>60.661323895728543</v>
      </c>
      <c r="CZ60" s="1392">
        <f t="shared" si="429"/>
        <v>60.661443469291207</v>
      </c>
      <c r="DA60" s="1392">
        <f t="shared" si="429"/>
        <v>60.661416997119979</v>
      </c>
      <c r="DB60" s="1392">
        <f t="shared" si="429"/>
        <v>60.661480017479853</v>
      </c>
      <c r="DC60" s="1392">
        <f t="shared" si="429"/>
        <v>60.661555854578296</v>
      </c>
      <c r="DD60" s="1392">
        <f t="shared" si="429"/>
        <v>60.661565230052219</v>
      </c>
      <c r="DE60" s="1392">
        <f t="shared" si="429"/>
        <v>60.661669979491997</v>
      </c>
      <c r="DF60" s="1392">
        <f t="shared" si="429"/>
        <v>60.661676424268514</v>
      </c>
      <c r="DG60" s="1392">
        <f t="shared" si="429"/>
        <v>60.661674013757214</v>
      </c>
      <c r="DH60" s="1392">
        <f t="shared" si="429"/>
        <v>60.661763381327333</v>
      </c>
      <c r="DI60" s="1392">
        <f t="shared" si="429"/>
        <v>60.661810082696249</v>
      </c>
      <c r="DJ60" s="1392">
        <f t="shared" si="429"/>
        <v>60.661833816422053</v>
      </c>
      <c r="DK60" s="1392">
        <f t="shared" si="429"/>
        <v>60.661926682312632</v>
      </c>
      <c r="DL60" s="1392">
        <f t="shared" si="429"/>
        <v>60.66197430639896</v>
      </c>
      <c r="DM60" s="1392">
        <f t="shared" si="429"/>
        <v>60.662024569614346</v>
      </c>
      <c r="DN60" s="1392">
        <f t="shared" si="429"/>
        <v>60.662103576390628</v>
      </c>
      <c r="DO60" s="1392">
        <f t="shared" si="429"/>
        <v>60.662204073132045</v>
      </c>
      <c r="DP60" s="1392">
        <f t="shared" si="429"/>
        <v>60.662185735357781</v>
      </c>
      <c r="DQ60" s="1392">
        <f t="shared" si="429"/>
        <v>60.66142156860748</v>
      </c>
      <c r="DR60" s="1392">
        <f t="shared" si="429"/>
        <v>60.662273194022674</v>
      </c>
      <c r="DS60" s="1392">
        <f t="shared" si="429"/>
        <v>60.662270701827786</v>
      </c>
      <c r="DT60" s="1392">
        <f t="shared" si="429"/>
        <v>745.21282698918594</v>
      </c>
      <c r="DU60" s="1392">
        <f t="shared" si="429"/>
        <v>745.07907436867026</v>
      </c>
      <c r="DV60" s="1392">
        <f t="shared" si="429"/>
        <v>745.19045640406603</v>
      </c>
      <c r="DW60" s="1392">
        <f t="shared" si="429"/>
        <v>745.18969133465509</v>
      </c>
      <c r="DX60" s="1392">
        <f t="shared" si="429"/>
        <v>745.17793935555915</v>
      </c>
      <c r="DY60" s="1392">
        <f t="shared" si="429"/>
        <v>1249.4752423732416</v>
      </c>
      <c r="DZ60" s="1392">
        <f t="shared" si="429"/>
        <v>819.87114286575502</v>
      </c>
      <c r="EA60" s="1392">
        <f t="shared" si="429"/>
        <v>819.87012114999027</v>
      </c>
      <c r="EB60" s="1392">
        <f t="shared" si="429"/>
        <v>859.42807630413029</v>
      </c>
      <c r="EC60" s="1392">
        <f t="shared" ref="EC60:ER60" si="430">EC59+FI136</f>
        <v>2099.1908383132436</v>
      </c>
      <c r="ED60" s="1392">
        <f t="shared" si="430"/>
        <v>748.76387872991688</v>
      </c>
      <c r="EE60" s="1392">
        <f t="shared" si="430"/>
        <v>748.24086263261245</v>
      </c>
      <c r="EF60" s="1392">
        <f t="shared" si="430"/>
        <v>826.03912445528294</v>
      </c>
      <c r="EG60" s="1392">
        <f t="shared" si="430"/>
        <v>331.68564246633252</v>
      </c>
      <c r="EH60" s="1392">
        <f t="shared" si="430"/>
        <v>466.47772817579227</v>
      </c>
      <c r="EI60" s="1392">
        <f t="shared" si="430"/>
        <v>466.21878230044399</v>
      </c>
      <c r="EJ60" s="1392">
        <f t="shared" si="430"/>
        <v>616.03254693436065</v>
      </c>
      <c r="EK60" s="1392">
        <f t="shared" si="430"/>
        <v>701.44086687995264</v>
      </c>
      <c r="EL60" s="1392">
        <f t="shared" si="430"/>
        <v>686.70196037517474</v>
      </c>
      <c r="EM60" s="1392">
        <f t="shared" si="430"/>
        <v>686.28792712109259</v>
      </c>
      <c r="EN60" s="1392">
        <f t="shared" si="430"/>
        <v>824.98333508489929</v>
      </c>
      <c r="EO60" s="1392">
        <f t="shared" si="430"/>
        <v>907.34547374710633</v>
      </c>
      <c r="EP60" s="1392">
        <f t="shared" si="430"/>
        <v>1038.3342995327534</v>
      </c>
      <c r="EQ60" s="1392">
        <f t="shared" si="430"/>
        <v>1038.8123576915609</v>
      </c>
      <c r="ER60" s="1393">
        <f t="shared" si="430"/>
        <v>2089.2495348219195</v>
      </c>
      <c r="ES60" s="377"/>
      <c r="ET60" s="316">
        <f t="shared" si="335"/>
        <v>1</v>
      </c>
      <c r="EU60" s="1392">
        <f t="shared" si="20"/>
        <v>1</v>
      </c>
      <c r="EV60" s="1392">
        <f t="shared" si="21"/>
        <v>1</v>
      </c>
      <c r="EW60" s="1392">
        <f t="shared" si="22"/>
        <v>1</v>
      </c>
      <c r="EX60" s="1392">
        <f t="shared" si="23"/>
        <v>1</v>
      </c>
      <c r="EY60" s="1392">
        <f t="shared" si="24"/>
        <v>1</v>
      </c>
      <c r="EZ60" s="1392">
        <f t="shared" si="25"/>
        <v>1</v>
      </c>
      <c r="FA60" s="1392">
        <f t="shared" si="26"/>
        <v>1</v>
      </c>
      <c r="FB60" s="1392">
        <f t="shared" si="27"/>
        <v>1</v>
      </c>
      <c r="FC60" s="1392">
        <f t="shared" si="28"/>
        <v>1</v>
      </c>
      <c r="FD60" s="1392">
        <f t="shared" si="29"/>
        <v>1</v>
      </c>
      <c r="FE60" s="1392">
        <f t="shared" si="30"/>
        <v>1</v>
      </c>
      <c r="FF60" s="1392">
        <f t="shared" si="31"/>
        <v>1</v>
      </c>
      <c r="FG60" s="1392">
        <f t="shared" si="32"/>
        <v>1</v>
      </c>
      <c r="FH60" s="1392">
        <f t="shared" si="33"/>
        <v>1</v>
      </c>
      <c r="FI60" s="1392">
        <f t="shared" si="34"/>
        <v>1</v>
      </c>
      <c r="FJ60" s="1392">
        <f t="shared" si="35"/>
        <v>1</v>
      </c>
      <c r="FK60" s="1392">
        <f t="shared" si="36"/>
        <v>1</v>
      </c>
      <c r="FL60" s="1392">
        <f t="shared" si="37"/>
        <v>1</v>
      </c>
      <c r="FM60" s="1392">
        <f t="shared" si="38"/>
        <v>1</v>
      </c>
      <c r="FN60" s="1392">
        <f t="shared" si="39"/>
        <v>1</v>
      </c>
      <c r="FO60" s="1392">
        <f t="shared" si="40"/>
        <v>1</v>
      </c>
      <c r="FP60" s="1392">
        <f t="shared" si="41"/>
        <v>1</v>
      </c>
      <c r="FQ60" s="1392">
        <f t="shared" si="42"/>
        <v>1</v>
      </c>
      <c r="FR60" s="1392">
        <f t="shared" si="43"/>
        <v>1</v>
      </c>
      <c r="FS60" s="1392">
        <f t="shared" si="44"/>
        <v>1</v>
      </c>
      <c r="FT60" s="1392">
        <f t="shared" si="45"/>
        <v>1</v>
      </c>
      <c r="FU60" s="1392">
        <f t="shared" si="46"/>
        <v>1</v>
      </c>
      <c r="FV60" s="1392">
        <f t="shared" si="47"/>
        <v>1</v>
      </c>
      <c r="FW60" s="1392">
        <f t="shared" si="48"/>
        <v>1</v>
      </c>
      <c r="FX60" s="1392">
        <f t="shared" si="49"/>
        <v>1</v>
      </c>
      <c r="FY60" s="1392">
        <f t="shared" si="50"/>
        <v>1</v>
      </c>
      <c r="FZ60" s="1392">
        <f t="shared" si="51"/>
        <v>1</v>
      </c>
      <c r="GA60" s="1392">
        <f t="shared" si="52"/>
        <v>1</v>
      </c>
      <c r="GB60" s="1392">
        <f t="shared" si="53"/>
        <v>1</v>
      </c>
      <c r="GC60" s="1392">
        <f t="shared" si="54"/>
        <v>1</v>
      </c>
      <c r="GD60" s="1392">
        <f t="shared" si="55"/>
        <v>1</v>
      </c>
      <c r="GE60" s="1392">
        <f t="shared" si="56"/>
        <v>1</v>
      </c>
      <c r="GF60" s="1392">
        <f t="shared" si="57"/>
        <v>1</v>
      </c>
      <c r="GG60" s="1392">
        <f t="shared" si="58"/>
        <v>1</v>
      </c>
      <c r="GH60" s="1392">
        <f t="shared" si="59"/>
        <v>1</v>
      </c>
      <c r="GI60" s="1392">
        <f t="shared" si="60"/>
        <v>1</v>
      </c>
      <c r="GJ60" s="1392">
        <f t="shared" si="61"/>
        <v>1</v>
      </c>
      <c r="GK60" s="1392">
        <f t="shared" si="62"/>
        <v>1</v>
      </c>
      <c r="GL60" s="1392">
        <f t="shared" si="63"/>
        <v>1</v>
      </c>
      <c r="GM60" s="1392">
        <f t="shared" si="64"/>
        <v>1</v>
      </c>
      <c r="GN60" s="1392">
        <f t="shared" si="65"/>
        <v>1</v>
      </c>
      <c r="GO60" s="1392">
        <f t="shared" si="66"/>
        <v>1</v>
      </c>
      <c r="GP60" s="1392">
        <f t="shared" si="67"/>
        <v>1</v>
      </c>
      <c r="GQ60" s="1392">
        <f t="shared" si="68"/>
        <v>1</v>
      </c>
      <c r="GR60" s="1392">
        <f t="shared" si="69"/>
        <v>1</v>
      </c>
      <c r="GS60" s="1392">
        <f t="shared" si="70"/>
        <v>1</v>
      </c>
      <c r="GT60" s="1392">
        <f t="shared" si="71"/>
        <v>1</v>
      </c>
      <c r="GU60" s="1392">
        <f t="shared" si="72"/>
        <v>1</v>
      </c>
      <c r="GV60" s="1392">
        <f t="shared" si="73"/>
        <v>1</v>
      </c>
      <c r="GW60" s="1392">
        <f t="shared" si="74"/>
        <v>1</v>
      </c>
      <c r="GX60" s="1392">
        <f t="shared" si="75"/>
        <v>1</v>
      </c>
      <c r="GY60" s="1392">
        <f t="shared" si="76"/>
        <v>1</v>
      </c>
      <c r="GZ60" s="1392">
        <f t="shared" si="77"/>
        <v>1</v>
      </c>
      <c r="HA60" s="1392">
        <f t="shared" si="78"/>
        <v>1</v>
      </c>
      <c r="HB60" s="1392">
        <f t="shared" si="79"/>
        <v>1</v>
      </c>
      <c r="HC60" s="1392">
        <f t="shared" si="80"/>
        <v>1</v>
      </c>
      <c r="HD60" s="1392">
        <f t="shared" si="81"/>
        <v>1</v>
      </c>
      <c r="HE60" s="1392">
        <f t="shared" si="82"/>
        <v>1</v>
      </c>
      <c r="HF60" s="1392">
        <f t="shared" si="83"/>
        <v>1</v>
      </c>
      <c r="HG60" s="1392">
        <f t="shared" si="84"/>
        <v>1</v>
      </c>
      <c r="HH60" s="1392">
        <f t="shared" si="85"/>
        <v>1</v>
      </c>
      <c r="HI60" s="1392">
        <f t="shared" si="86"/>
        <v>1</v>
      </c>
      <c r="HJ60" s="1392">
        <f t="shared" si="87"/>
        <v>1</v>
      </c>
      <c r="HK60" s="1392">
        <f t="shared" si="88"/>
        <v>1</v>
      </c>
      <c r="HL60" s="1392">
        <f t="shared" si="89"/>
        <v>1</v>
      </c>
      <c r="HM60" s="1392">
        <f t="shared" si="90"/>
        <v>1</v>
      </c>
      <c r="HN60" s="1392">
        <f t="shared" si="91"/>
        <v>3855496.2453016415</v>
      </c>
      <c r="HO60" s="1392">
        <f t="shared" si="92"/>
        <v>3855593.0566116124</v>
      </c>
      <c r="HP60" s="1392">
        <f t="shared" si="93"/>
        <v>3855586.6390565629</v>
      </c>
      <c r="HQ60" s="1392">
        <f t="shared" si="94"/>
        <v>3855672.6421264689</v>
      </c>
      <c r="HR60" s="1392">
        <f t="shared" si="95"/>
        <v>3855721.1561069181</v>
      </c>
      <c r="HS60" s="1392">
        <f t="shared" si="96"/>
        <v>3855785.4313588976</v>
      </c>
      <c r="HT60" s="1392">
        <f t="shared" si="97"/>
        <v>3855791.3277632687</v>
      </c>
      <c r="HU60" s="1392">
        <f t="shared" si="98"/>
        <v>3855930.0217886264</v>
      </c>
      <c r="HV60" s="1392">
        <f t="shared" si="99"/>
        <v>3855146.3669748153</v>
      </c>
      <c r="HW60" s="1392">
        <f t="shared" si="100"/>
        <v>3855173.7141606738</v>
      </c>
      <c r="HX60" s="1392">
        <f t="shared" si="101"/>
        <v>3855997.1050830889</v>
      </c>
      <c r="HY60" s="1392">
        <f t="shared" si="102"/>
        <v>3855228.7274702336</v>
      </c>
      <c r="HZ60" s="1392">
        <f t="shared" si="103"/>
        <v>3855312.2648363598</v>
      </c>
      <c r="IA60" s="1392">
        <f t="shared" si="104"/>
        <v>3856070.4939506068</v>
      </c>
      <c r="IB60" s="1392">
        <f t="shared" si="105"/>
        <v>3855404.918964705</v>
      </c>
      <c r="IC60" s="1392">
        <f t="shared" si="106"/>
        <v>3856166.4163769567</v>
      </c>
      <c r="ID60" s="1392">
        <f t="shared" si="107"/>
        <v>3856290.8332518404</v>
      </c>
      <c r="IE60" s="1392">
        <f t="shared" si="108"/>
        <v>3856294.2093797084</v>
      </c>
      <c r="IF60" s="1392">
        <f t="shared" si="109"/>
        <v>3856375.4797401144</v>
      </c>
      <c r="IG60" s="1392">
        <f t="shared" si="110"/>
        <v>3856445.8128005066</v>
      </c>
      <c r="IH60" s="1392">
        <f t="shared" si="111"/>
        <v>3856474.6695681927</v>
      </c>
      <c r="II60" s="1392">
        <f t="shared" si="112"/>
        <v>3856498.4876868511</v>
      </c>
      <c r="IJ60" s="1392">
        <f t="shared" si="113"/>
        <v>3856573.2934781881</v>
      </c>
      <c r="IK60" s="1392">
        <f t="shared" si="114"/>
        <v>3856585.3879270982</v>
      </c>
      <c r="IL60" s="1392">
        <f t="shared" si="115"/>
        <v>3856614.0505465204</v>
      </c>
      <c r="IM60" s="1392">
        <f t="shared" si="116"/>
        <v>3856664.1644692509</v>
      </c>
      <c r="IN60" s="1392">
        <f t="shared" si="117"/>
        <v>3856732.8608645811</v>
      </c>
      <c r="IO60" s="1392">
        <f t="shared" si="118"/>
        <v>3856848.1534099188</v>
      </c>
      <c r="IP60" s="1392">
        <f t="shared" si="119"/>
        <v>3856822.628708201</v>
      </c>
      <c r="IQ60" s="1392">
        <f t="shared" si="120"/>
        <v>3856883.3937743874</v>
      </c>
      <c r="IR60" s="1392">
        <f t="shared" si="121"/>
        <v>3856956.5181789822</v>
      </c>
      <c r="IS60" s="1392">
        <f t="shared" si="122"/>
        <v>3856965.558388391</v>
      </c>
      <c r="IT60" s="1392">
        <f t="shared" si="123"/>
        <v>3857066.5634562843</v>
      </c>
      <c r="IU60" s="1392">
        <f t="shared" si="124"/>
        <v>3857072.7779442938</v>
      </c>
      <c r="IV60" s="1392">
        <f t="shared" si="125"/>
        <v>3857070.4535656152</v>
      </c>
      <c r="IW60" s="1392">
        <f t="shared" si="126"/>
        <v>3857156.6287818239</v>
      </c>
      <c r="IX60" s="1392">
        <f t="shared" si="127"/>
        <v>3857201.6626683883</v>
      </c>
      <c r="IY60" s="1392">
        <f t="shared" si="128"/>
        <v>3857224.5491779442</v>
      </c>
      <c r="IZ60" s="1392">
        <f t="shared" si="129"/>
        <v>3857314.1013657143</v>
      </c>
      <c r="JA60" s="1392">
        <f t="shared" si="130"/>
        <v>3857360.0269040479</v>
      </c>
      <c r="JB60" s="1392">
        <f t="shared" si="131"/>
        <v>3857408.4980380498</v>
      </c>
      <c r="JC60" s="1392">
        <f t="shared" si="132"/>
        <v>3857484.6891430574</v>
      </c>
      <c r="JD60" s="1392">
        <f t="shared" si="133"/>
        <v>3857581.6065208688</v>
      </c>
      <c r="JE60" s="1392">
        <f t="shared" si="134"/>
        <v>3857563.9216962298</v>
      </c>
      <c r="JF60" s="1392">
        <f t="shared" si="135"/>
        <v>3856827.0365648302</v>
      </c>
      <c r="JG60" s="1392">
        <f t="shared" si="136"/>
        <v>3857648.2669659001</v>
      </c>
      <c r="JH60" s="1392">
        <f t="shared" si="137"/>
        <v>3857645.8634638265</v>
      </c>
      <c r="JI60" s="1392">
        <f t="shared" si="138"/>
        <v>8.1368189216913333E+80</v>
      </c>
      <c r="JJ60" s="1392">
        <f t="shared" si="139"/>
        <v>7.8692373569432792E+80</v>
      </c>
      <c r="JK60" s="1392">
        <f t="shared" si="140"/>
        <v>8.0914395851868344E+80</v>
      </c>
      <c r="JL60" s="1392">
        <f t="shared" si="141"/>
        <v>8.089892104953519E+80</v>
      </c>
      <c r="JM60" s="1392">
        <f t="shared" si="142"/>
        <v>8.0661589252776725E+80</v>
      </c>
      <c r="JN60" s="1392">
        <f t="shared" si="143"/>
        <v>4.5714161617074462E+135</v>
      </c>
      <c r="JO60" s="1392">
        <f t="shared" si="144"/>
        <v>1.0384325782352746E+89</v>
      </c>
      <c r="JP60" s="1392">
        <f t="shared" si="145"/>
        <v>1.0381673663741555E+89</v>
      </c>
      <c r="JQ60" s="1392">
        <f t="shared" si="146"/>
        <v>2.0474711117012249E+93</v>
      </c>
      <c r="JR60" s="1392">
        <f t="shared" si="147"/>
        <v>8.2556141229449915E+227</v>
      </c>
      <c r="JS60" s="1392">
        <f t="shared" si="148"/>
        <v>1.9769932896246889E+81</v>
      </c>
      <c r="JT60" s="1392">
        <f t="shared" si="149"/>
        <v>1.7346802901906896E+81</v>
      </c>
      <c r="JU60" s="1392">
        <f t="shared" si="150"/>
        <v>4.8535375816721857E+89</v>
      </c>
      <c r="JV60" s="1392">
        <f t="shared" si="151"/>
        <v>1.0287528761712795E+36</v>
      </c>
      <c r="JW60" s="1392">
        <f t="shared" si="152"/>
        <v>4.4378827040357044E+50</v>
      </c>
      <c r="JX60" s="1392">
        <f t="shared" si="153"/>
        <v>4.1596915521595229E+50</v>
      </c>
      <c r="JY60" s="1392">
        <f t="shared" si="154"/>
        <v>7.6715646908104137E+66</v>
      </c>
      <c r="JZ60" s="1392">
        <f t="shared" si="155"/>
        <v>1.4387139905332958E+76</v>
      </c>
      <c r="KA60" s="1392">
        <f t="shared" si="156"/>
        <v>3.6117528634216354E+74</v>
      </c>
      <c r="KB60" s="1392">
        <f t="shared" si="157"/>
        <v>3.2566038830607303E+74</v>
      </c>
      <c r="KC60" s="1392">
        <f t="shared" si="158"/>
        <v>3.7275847162204734E+89</v>
      </c>
      <c r="KD60" s="1392">
        <f t="shared" si="159"/>
        <v>3.2642477021453831E+98</v>
      </c>
      <c r="KE60" s="1392">
        <f t="shared" si="160"/>
        <v>5.4414440056275393E+112</v>
      </c>
      <c r="KF60" s="1392">
        <f t="shared" si="161"/>
        <v>6.1322333058677619E+112</v>
      </c>
      <c r="KG60" s="1399">
        <f t="shared" si="162"/>
        <v>6.8767949205188533E+226</v>
      </c>
      <c r="KH60" s="1406">
        <f t="shared" si="163"/>
        <v>8.9432936149968763E+227</v>
      </c>
      <c r="KI60" s="377"/>
      <c r="KJ60" s="1444">
        <f t="shared" si="164"/>
        <v>2099.5108801771876</v>
      </c>
      <c r="KK60" s="49">
        <f t="shared" si="165"/>
        <v>1954.8623837800872</v>
      </c>
      <c r="KL60" s="377"/>
      <c r="KM60" s="908">
        <f t="shared" si="166"/>
        <v>1.118156289001979E-228</v>
      </c>
      <c r="KN60" s="1411">
        <f t="shared" si="167"/>
        <v>1.118156289001979E-228</v>
      </c>
      <c r="KO60" s="1411">
        <f t="shared" si="168"/>
        <v>1.118156289001979E-228</v>
      </c>
      <c r="KP60" s="1411">
        <f t="shared" si="169"/>
        <v>1.118156289001979E-228</v>
      </c>
      <c r="KQ60" s="1411">
        <f t="shared" si="170"/>
        <v>1.118156289001979E-228</v>
      </c>
      <c r="KR60" s="1411">
        <f t="shared" si="171"/>
        <v>1.118156289001979E-228</v>
      </c>
      <c r="KS60" s="1411">
        <f t="shared" si="172"/>
        <v>1.118156289001979E-228</v>
      </c>
      <c r="KT60" s="1411">
        <f t="shared" si="173"/>
        <v>1.118156289001979E-228</v>
      </c>
      <c r="KU60" s="1411">
        <f t="shared" si="174"/>
        <v>1.118156289001979E-228</v>
      </c>
      <c r="KV60" s="1411">
        <f t="shared" si="175"/>
        <v>1.118156289001979E-228</v>
      </c>
      <c r="KW60" s="1411">
        <f t="shared" si="176"/>
        <v>1.118156289001979E-228</v>
      </c>
      <c r="KX60" s="1411">
        <f t="shared" si="177"/>
        <v>1.118156289001979E-228</v>
      </c>
      <c r="KY60" s="1411">
        <f t="shared" si="178"/>
        <v>1.118156289001979E-228</v>
      </c>
      <c r="KZ60" s="1411">
        <f t="shared" si="179"/>
        <v>1.118156289001979E-228</v>
      </c>
      <c r="LA60" s="1411">
        <f t="shared" si="180"/>
        <v>1.118156289001979E-228</v>
      </c>
      <c r="LB60" s="1411">
        <f t="shared" si="181"/>
        <v>1.118156289001979E-228</v>
      </c>
      <c r="LC60" s="1411">
        <f t="shared" si="182"/>
        <v>1.118156289001979E-228</v>
      </c>
      <c r="LD60" s="1411">
        <f t="shared" si="183"/>
        <v>1.118156289001979E-228</v>
      </c>
      <c r="LE60" s="1411">
        <f t="shared" si="184"/>
        <v>1.118156289001979E-228</v>
      </c>
      <c r="LF60" s="1411">
        <f t="shared" si="185"/>
        <v>1.118156289001979E-228</v>
      </c>
      <c r="LG60" s="1411">
        <f t="shared" si="186"/>
        <v>1.118156289001979E-228</v>
      </c>
      <c r="LH60" s="1411">
        <f t="shared" si="187"/>
        <v>1.118156289001979E-228</v>
      </c>
      <c r="LI60" s="1411">
        <f t="shared" si="188"/>
        <v>1.118156289001979E-228</v>
      </c>
      <c r="LJ60" s="1411">
        <f t="shared" si="189"/>
        <v>1.118156289001979E-228</v>
      </c>
      <c r="LK60" s="1411">
        <f t="shared" si="190"/>
        <v>1.118156289001979E-228</v>
      </c>
      <c r="LL60" s="1411">
        <f t="shared" si="191"/>
        <v>1.118156289001979E-228</v>
      </c>
      <c r="LM60" s="1411">
        <f t="shared" si="192"/>
        <v>1.118156289001979E-228</v>
      </c>
      <c r="LN60" s="1411">
        <f t="shared" si="193"/>
        <v>1.118156289001979E-228</v>
      </c>
      <c r="LO60" s="1411">
        <f t="shared" si="194"/>
        <v>1.118156289001979E-228</v>
      </c>
      <c r="LP60" s="1411">
        <f t="shared" si="195"/>
        <v>1.118156289001979E-228</v>
      </c>
      <c r="LQ60" s="1411">
        <f t="shared" si="196"/>
        <v>1.118156289001979E-228</v>
      </c>
      <c r="LR60" s="1411">
        <f t="shared" si="197"/>
        <v>1.118156289001979E-228</v>
      </c>
      <c r="LS60" s="1411">
        <f t="shared" si="198"/>
        <v>1.118156289001979E-228</v>
      </c>
      <c r="LT60" s="1411">
        <f t="shared" si="199"/>
        <v>1.118156289001979E-228</v>
      </c>
      <c r="LU60" s="1411">
        <f t="shared" si="200"/>
        <v>1.118156289001979E-228</v>
      </c>
      <c r="LV60" s="1411">
        <f t="shared" si="201"/>
        <v>1.118156289001979E-228</v>
      </c>
      <c r="LW60" s="1411">
        <f t="shared" si="202"/>
        <v>1.118156289001979E-228</v>
      </c>
      <c r="LX60" s="1411">
        <f t="shared" si="203"/>
        <v>1.118156289001979E-228</v>
      </c>
      <c r="LY60" s="1411">
        <f t="shared" si="204"/>
        <v>1.118156289001979E-228</v>
      </c>
      <c r="LZ60" s="1411">
        <f t="shared" si="205"/>
        <v>1.118156289001979E-228</v>
      </c>
      <c r="MA60" s="1411">
        <f t="shared" si="206"/>
        <v>1.118156289001979E-228</v>
      </c>
      <c r="MB60" s="1411">
        <f t="shared" si="207"/>
        <v>1.118156289001979E-228</v>
      </c>
      <c r="MC60" s="1411">
        <f t="shared" si="208"/>
        <v>1.118156289001979E-228</v>
      </c>
      <c r="MD60" s="1411">
        <f t="shared" si="209"/>
        <v>1.118156289001979E-228</v>
      </c>
      <c r="ME60" s="1411">
        <f t="shared" si="210"/>
        <v>1.118156289001979E-228</v>
      </c>
      <c r="MF60" s="1411">
        <f t="shared" si="211"/>
        <v>1.118156289001979E-228</v>
      </c>
      <c r="MG60" s="1411">
        <f t="shared" si="212"/>
        <v>1.118156289001979E-228</v>
      </c>
      <c r="MH60" s="1411">
        <f t="shared" si="213"/>
        <v>1.118156289001979E-228</v>
      </c>
      <c r="MI60" s="1411">
        <f t="shared" si="214"/>
        <v>1.118156289001979E-228</v>
      </c>
      <c r="MJ60" s="1411">
        <f t="shared" si="215"/>
        <v>1.118156289001979E-228</v>
      </c>
      <c r="MK60" s="1411">
        <f t="shared" si="216"/>
        <v>1.118156289001979E-228</v>
      </c>
      <c r="ML60" s="1411">
        <f t="shared" si="217"/>
        <v>1.118156289001979E-228</v>
      </c>
      <c r="MM60" s="1411">
        <f t="shared" si="218"/>
        <v>1.118156289001979E-228</v>
      </c>
      <c r="MN60" s="1411">
        <f t="shared" si="219"/>
        <v>1.118156289001979E-228</v>
      </c>
      <c r="MO60" s="1411">
        <f t="shared" si="220"/>
        <v>1.118156289001979E-228</v>
      </c>
      <c r="MP60" s="1411">
        <f t="shared" si="221"/>
        <v>1.118156289001979E-228</v>
      </c>
      <c r="MQ60" s="1411">
        <f t="shared" si="222"/>
        <v>1.118156289001979E-228</v>
      </c>
      <c r="MR60" s="1411">
        <f t="shared" si="223"/>
        <v>1.118156289001979E-228</v>
      </c>
      <c r="MS60" s="1411">
        <f t="shared" si="224"/>
        <v>1.118156289001979E-228</v>
      </c>
      <c r="MT60" s="1411">
        <f t="shared" si="225"/>
        <v>1.118156289001979E-228</v>
      </c>
      <c r="MU60" s="1411">
        <f t="shared" si="226"/>
        <v>1.118156289001979E-228</v>
      </c>
      <c r="MV60" s="1411">
        <f t="shared" si="227"/>
        <v>1.118156289001979E-228</v>
      </c>
      <c r="MW60" s="1411">
        <f t="shared" si="228"/>
        <v>1.118156289001979E-228</v>
      </c>
      <c r="MX60" s="1411">
        <f t="shared" si="229"/>
        <v>1.118156289001979E-228</v>
      </c>
      <c r="MY60" s="1411">
        <f t="shared" si="230"/>
        <v>1.118156289001979E-228</v>
      </c>
      <c r="MZ60" s="1411">
        <f t="shared" si="231"/>
        <v>1.118156289001979E-228</v>
      </c>
      <c r="NA60" s="1411">
        <f t="shared" si="232"/>
        <v>1.118156289001979E-228</v>
      </c>
      <c r="NB60" s="1411">
        <f t="shared" si="233"/>
        <v>1.118156289001979E-228</v>
      </c>
      <c r="NC60" s="1411">
        <f t="shared" si="234"/>
        <v>1.118156289001979E-228</v>
      </c>
      <c r="ND60" s="1411">
        <f t="shared" si="235"/>
        <v>1.118156289001979E-228</v>
      </c>
      <c r="NE60" s="1411">
        <f t="shared" si="236"/>
        <v>1.118156289001979E-228</v>
      </c>
      <c r="NF60" s="1411">
        <f t="shared" si="237"/>
        <v>1.118156289001979E-228</v>
      </c>
      <c r="NG60" s="1411">
        <f t="shared" si="238"/>
        <v>4.3110473739075468E-222</v>
      </c>
      <c r="NH60" s="1411">
        <f t="shared" si="239"/>
        <v>4.3111556240826374E-222</v>
      </c>
      <c r="NI60" s="1411">
        <f t="shared" si="240"/>
        <v>4.311148448253099E-222</v>
      </c>
      <c r="NJ60" s="1411">
        <f t="shared" si="241"/>
        <v>4.3112446131265874E-222</v>
      </c>
      <c r="NK60" s="1411">
        <f t="shared" si="242"/>
        <v>4.3112988593389314E-222</v>
      </c>
      <c r="NL60" s="1411">
        <f t="shared" si="243"/>
        <v>4.3113707291161597E-222</v>
      </c>
      <c r="NM60" s="1411">
        <f t="shared" si="244"/>
        <v>4.3113773222177897E-222</v>
      </c>
      <c r="NN60" s="1411">
        <f t="shared" si="245"/>
        <v>4.31153240381449E-222</v>
      </c>
      <c r="NO60" s="1411">
        <f t="shared" si="246"/>
        <v>4.3106561552560204E-222</v>
      </c>
      <c r="NP60" s="1411">
        <f t="shared" si="247"/>
        <v>4.3106867336838748E-222</v>
      </c>
      <c r="NQ60" s="1411">
        <f t="shared" si="248"/>
        <v>4.3116074134220805E-222</v>
      </c>
      <c r="NR60" s="1411">
        <f t="shared" si="249"/>
        <v>4.3107482471619377E-222</v>
      </c>
      <c r="NS60" s="1411">
        <f t="shared" si="250"/>
        <v>4.3108416549932383E-222</v>
      </c>
      <c r="NT60" s="1411">
        <f t="shared" si="251"/>
        <v>4.3116894736458383E-222</v>
      </c>
      <c r="NU60" s="1411">
        <f t="shared" si="252"/>
        <v>4.3109452567895495E-222</v>
      </c>
      <c r="NV60" s="1411">
        <f t="shared" si="253"/>
        <v>4.311796729910118E-222</v>
      </c>
      <c r="NW60" s="1411">
        <f t="shared" si="254"/>
        <v>4.3119358474212269E-222</v>
      </c>
      <c r="NX60" s="1411">
        <f t="shared" si="255"/>
        <v>4.3119396224598353E-222</v>
      </c>
      <c r="NY60" s="1411">
        <f t="shared" si="256"/>
        <v>4.3120304954244327E-222</v>
      </c>
      <c r="NZ60" s="1411">
        <f t="shared" si="257"/>
        <v>4.3121091387782349E-222</v>
      </c>
      <c r="OA60" s="1411">
        <f t="shared" si="258"/>
        <v>4.3121414051545034E-222</v>
      </c>
      <c r="OB60" s="1411">
        <f t="shared" si="259"/>
        <v>4.3121680375336735E-222</v>
      </c>
      <c r="OC60" s="1411">
        <f t="shared" si="260"/>
        <v>4.3122516820997104E-222</v>
      </c>
      <c r="OD60" s="1411">
        <f t="shared" si="261"/>
        <v>4.3122652055838216E-222</v>
      </c>
      <c r="OE60" s="1411">
        <f t="shared" si="262"/>
        <v>4.3122972548719874E-222</v>
      </c>
      <c r="OF60" s="1411">
        <f t="shared" si="263"/>
        <v>4.3123532900698555E-222</v>
      </c>
      <c r="OG60" s="1411">
        <f t="shared" si="264"/>
        <v>4.3124301033763256E-222</v>
      </c>
      <c r="OH60" s="1411">
        <f t="shared" si="265"/>
        <v>4.3125590184609699E-222</v>
      </c>
      <c r="OI60" s="1411">
        <f t="shared" si="266"/>
        <v>4.3125304778552192E-222</v>
      </c>
      <c r="OJ60" s="1411">
        <f t="shared" si="267"/>
        <v>4.3125984226961274E-222</v>
      </c>
      <c r="OK60" s="1411">
        <f t="shared" si="268"/>
        <v>4.3126801872090043E-222</v>
      </c>
      <c r="OL60" s="1411">
        <f t="shared" si="269"/>
        <v>4.3126902955760088E-222</v>
      </c>
      <c r="OM60" s="1411">
        <f t="shared" si="270"/>
        <v>4.312803235027895E-222</v>
      </c>
      <c r="ON60" s="1411">
        <f t="shared" si="271"/>
        <v>4.3128101837967453E-222</v>
      </c>
      <c r="OO60" s="1411">
        <f t="shared" si="272"/>
        <v>4.312807584778108E-222</v>
      </c>
      <c r="OP60" s="1411">
        <f t="shared" si="273"/>
        <v>4.3129039421380675E-222</v>
      </c>
      <c r="OQ60" s="1411">
        <f t="shared" si="274"/>
        <v>4.3129542970615481E-222</v>
      </c>
      <c r="OR60" s="1411">
        <f t="shared" si="275"/>
        <v>4.3129798877561414E-222</v>
      </c>
      <c r="OS60" s="1411">
        <f t="shared" si="276"/>
        <v>4.3130800210980902E-222</v>
      </c>
      <c r="OT60" s="1411">
        <f t="shared" si="277"/>
        <v>4.3131313730276038E-222</v>
      </c>
      <c r="OU60" s="1411">
        <f t="shared" si="278"/>
        <v>4.3131855713309227E-222</v>
      </c>
      <c r="OV60" s="1411">
        <f t="shared" si="279"/>
        <v>4.3132707648941536E-222</v>
      </c>
      <c r="OW60" s="1411">
        <f t="shared" si="280"/>
        <v>4.3133791336696669E-222</v>
      </c>
      <c r="OX60" s="1411">
        <f t="shared" si="281"/>
        <v>4.3133593592717767E-222</v>
      </c>
      <c r="OY60" s="1411">
        <f t="shared" si="282"/>
        <v>4.31253540652783E-222</v>
      </c>
      <c r="OZ60" s="1411">
        <f t="shared" si="283"/>
        <v>4.3134536704655058E-222</v>
      </c>
      <c r="PA60" s="1411">
        <f t="shared" si="284"/>
        <v>4.3134509829745467E-222</v>
      </c>
      <c r="PB60" s="1411">
        <f t="shared" si="285"/>
        <v>9.0982352497594646E-148</v>
      </c>
      <c r="PC60" s="1411">
        <f t="shared" si="286"/>
        <v>8.7990372403154386E-148</v>
      </c>
      <c r="PD60" s="1411">
        <f t="shared" si="287"/>
        <v>9.0474940592562222E-148</v>
      </c>
      <c r="PE60" s="1411">
        <f t="shared" si="288"/>
        <v>9.0457637345012339E-148</v>
      </c>
      <c r="PF60" s="1411">
        <f t="shared" si="289"/>
        <v>9.0192263303886728E-148</v>
      </c>
      <c r="PG60" s="1411">
        <f t="shared" si="290"/>
        <v>5.1115577308584685E-93</v>
      </c>
      <c r="PH60" s="1411">
        <f t="shared" si="291"/>
        <v>1.1611299180583117E-139</v>
      </c>
      <c r="PI60" s="1411">
        <f t="shared" si="292"/>
        <v>1.1608333697478836E-139</v>
      </c>
      <c r="PJ60" s="1411">
        <f t="shared" si="293"/>
        <v>2.2893927000985979E-135</v>
      </c>
      <c r="PK60" s="1411">
        <f t="shared" si="294"/>
        <v>0.92310668511444982</v>
      </c>
      <c r="PL60" s="1411">
        <f t="shared" si="295"/>
        <v>2.2105874801085565E-147</v>
      </c>
      <c r="PM60" s="1411">
        <f t="shared" si="296"/>
        <v>1.9396436758844973E-147</v>
      </c>
      <c r="PN60" s="1411">
        <f t="shared" si="297"/>
        <v>5.4270135708542102E-139</v>
      </c>
      <c r="PO60" s="1411">
        <f t="shared" si="298"/>
        <v>1.1503064983197901E-192</v>
      </c>
      <c r="PP60" s="1411">
        <f t="shared" si="299"/>
        <v>4.9622464553706309E-178</v>
      </c>
      <c r="PQ60" s="1411">
        <f t="shared" si="300"/>
        <v>4.6511852693555737E-178</v>
      </c>
      <c r="PR60" s="1411">
        <f t="shared" si="301"/>
        <v>8.5780083055151858E-162</v>
      </c>
      <c r="PS60" s="1411">
        <f t="shared" si="302"/>
        <v>1.6087070965899382E-152</v>
      </c>
      <c r="PT60" s="1411">
        <f t="shared" si="303"/>
        <v>4.0385041785558069E-154</v>
      </c>
      <c r="PU60" s="1411">
        <f t="shared" si="304"/>
        <v>3.6413921126326206E-154</v>
      </c>
      <c r="PV60" s="1411">
        <f t="shared" si="305"/>
        <v>4.1680222932295791E-139</v>
      </c>
      <c r="PW60" s="1411">
        <f t="shared" si="306"/>
        <v>3.6499390970141189E-130</v>
      </c>
      <c r="PX60" s="1411">
        <f t="shared" si="307"/>
        <v>6.0843848361445525E-116</v>
      </c>
      <c r="PY60" s="1411">
        <f t="shared" si="308"/>
        <v>6.8567952365834339E-116</v>
      </c>
      <c r="PZ60" s="1412">
        <f t="shared" si="309"/>
        <v>7.6893314885550193E-2</v>
      </c>
      <c r="QB60" s="33" t="s">
        <v>1072</v>
      </c>
      <c r="QC60" s="1432">
        <f t="shared" si="336"/>
        <v>5.3671501872094951E-227</v>
      </c>
      <c r="QD60" s="744">
        <f t="shared" si="337"/>
        <v>1.0347601530892626E-220</v>
      </c>
      <c r="QE60" s="1068">
        <f t="shared" si="338"/>
        <v>1</v>
      </c>
      <c r="QF60" s="744">
        <f t="shared" si="339"/>
        <v>6.900364535580093E-221</v>
      </c>
      <c r="QG60" s="744">
        <f t="shared" si="340"/>
        <v>5.1115577308584685E-93</v>
      </c>
      <c r="QH60" s="1068">
        <f t="shared" si="341"/>
        <v>1</v>
      </c>
      <c r="QI60" s="744">
        <f t="shared" si="342"/>
        <v>0.92310668511444982</v>
      </c>
      <c r="QJ60" s="1068">
        <f t="shared" si="343"/>
        <v>7.6893314885550193E-2</v>
      </c>
      <c r="QK60" s="744">
        <f t="shared" si="344"/>
        <v>0.92310668511444982</v>
      </c>
      <c r="QL60" s="1068">
        <f t="shared" si="345"/>
        <v>7.6893314885550193E-2</v>
      </c>
      <c r="QM60" s="744">
        <f t="shared" si="346"/>
        <v>0.92310668511444982</v>
      </c>
      <c r="QN60" s="1068">
        <f t="shared" si="347"/>
        <v>7.6893314885550193E-2</v>
      </c>
      <c r="QO60" s="744">
        <f t="shared" si="348"/>
        <v>0.92310668511444982</v>
      </c>
      <c r="QP60" s="1068">
        <f t="shared" si="349"/>
        <v>7.6893314885550193E-2</v>
      </c>
      <c r="QR60" s="1432">
        <f t="shared" si="350"/>
        <v>1.7890500624031666E-227</v>
      </c>
      <c r="QS60" s="744">
        <f t="shared" si="351"/>
        <v>1.7890500624031666E-227</v>
      </c>
      <c r="QT60" s="744">
        <f t="shared" si="352"/>
        <v>1.7890500624031666E-227</v>
      </c>
      <c r="QU60" s="743">
        <f t="shared" si="353"/>
        <v>1.7890500624031666E-227</v>
      </c>
      <c r="QV60" s="744">
        <f t="shared" si="354"/>
        <v>3.4490184319107553E-221</v>
      </c>
      <c r="QW60" s="744">
        <f t="shared" si="355"/>
        <v>6.8985813099318086E-221</v>
      </c>
      <c r="QX60" s="743">
        <f t="shared" si="356"/>
        <v>6.9003609574799684E-221</v>
      </c>
      <c r="QY60" s="744">
        <f t="shared" si="357"/>
        <v>5.1115577308584685E-93</v>
      </c>
      <c r="QZ60" s="745">
        <f t="shared" si="358"/>
        <v>1</v>
      </c>
      <c r="RC60" s="744">
        <f t="shared" si="359"/>
        <v>8.9452503120158306E-228</v>
      </c>
      <c r="RD60" s="744">
        <f t="shared" si="360"/>
        <v>8.9452503120158306E-228</v>
      </c>
      <c r="RE60" s="744">
        <f t="shared" si="361"/>
        <v>8.9452503120158306E-228</v>
      </c>
      <c r="RF60" s="744">
        <f t="shared" si="362"/>
        <v>8.9452503120158306E-228</v>
      </c>
      <c r="RG60" s="744">
        <f t="shared" si="363"/>
        <v>3.4490175373857241E-221</v>
      </c>
      <c r="RH60" s="744">
        <f t="shared" si="364"/>
        <v>3.4496841434455434E-221</v>
      </c>
      <c r="RI60" s="744">
        <f t="shared" si="365"/>
        <v>3.4503470524684202E-221</v>
      </c>
      <c r="RJ60" s="744">
        <f t="shared" si="366"/>
        <v>5.1115577308584685E-93</v>
      </c>
      <c r="RK60" s="744">
        <f t="shared" si="367"/>
        <v>7.6893314885550193E-2</v>
      </c>
      <c r="RL60" s="1251"/>
      <c r="RM60" s="744">
        <f t="shared" si="368"/>
        <v>8.9452503120158306E-228</v>
      </c>
      <c r="RN60" s="744">
        <f t="shared" si="369"/>
        <v>8.9452503120158306E-228</v>
      </c>
      <c r="RO60" s="744">
        <f t="shared" si="370"/>
        <v>8.9452503120158306E-228</v>
      </c>
      <c r="RP60" s="744">
        <f t="shared" si="371"/>
        <v>8.9452503120158306E-228</v>
      </c>
      <c r="RQ60" s="744">
        <f t="shared" si="372"/>
        <v>1.7245583787112527E-221</v>
      </c>
      <c r="RR60" s="744">
        <f t="shared" si="373"/>
        <v>3.4494099445710454E-221</v>
      </c>
      <c r="RS60" s="744">
        <f t="shared" si="374"/>
        <v>3.4502644962279744E-221</v>
      </c>
      <c r="RT60" s="744">
        <f t="shared" si="375"/>
        <v>5.1115577308584685E-93</v>
      </c>
      <c r="RU60" s="744">
        <f t="shared" si="376"/>
        <v>7.6893314885550193E-2</v>
      </c>
      <c r="RV60" s="744"/>
      <c r="RW60" s="744">
        <f t="shared" si="377"/>
        <v>8.9452503120158306E-228</v>
      </c>
      <c r="RX60" s="744">
        <f t="shared" si="378"/>
        <v>8.9452503120158306E-228</v>
      </c>
      <c r="RY60" s="744">
        <f t="shared" si="379"/>
        <v>8.9452503120158306E-228</v>
      </c>
      <c r="RZ60" s="744">
        <f t="shared" si="380"/>
        <v>8.9452503120158306E-228</v>
      </c>
      <c r="SA60" s="744">
        <f t="shared" si="381"/>
        <v>1.7245307260037124E-221</v>
      </c>
      <c r="SB60" s="744">
        <f t="shared" si="382"/>
        <v>3.4493754169169885E-221</v>
      </c>
      <c r="SC60" s="744">
        <f t="shared" si="383"/>
        <v>3.4502282525664179E-221</v>
      </c>
      <c r="SD60" s="744">
        <f t="shared" si="384"/>
        <v>2.289508783438289E-135</v>
      </c>
      <c r="SE60" s="744">
        <f t="shared" si="385"/>
        <v>7.6893314885550193E-2</v>
      </c>
      <c r="SF60" s="744"/>
      <c r="SG60" s="744">
        <f t="shared" si="386"/>
        <v>8.9452503120158306E-228</v>
      </c>
      <c r="SH60" s="744">
        <f t="shared" si="387"/>
        <v>8.9452503120158306E-228</v>
      </c>
      <c r="SI60" s="744">
        <f t="shared" si="388"/>
        <v>8.9452503120158306E-228</v>
      </c>
      <c r="SJ60" s="744">
        <f t="shared" si="389"/>
        <v>8.9452503120158306E-228</v>
      </c>
      <c r="SK60" s="744">
        <f t="shared" si="390"/>
        <v>1.724530784276503E-221</v>
      </c>
      <c r="SL60" s="744">
        <f t="shared" si="391"/>
        <v>3.4493403188757338E-221</v>
      </c>
      <c r="SM60" s="744">
        <f t="shared" si="392"/>
        <v>3.4502026413521518E-221</v>
      </c>
      <c r="SN60" s="744">
        <f t="shared" si="393"/>
        <v>2.2895088130931202E-135</v>
      </c>
      <c r="SO60" s="744">
        <f t="shared" si="394"/>
        <v>7.6893314885550193E-2</v>
      </c>
      <c r="SP60" s="100"/>
      <c r="SQ60" s="7" t="s">
        <v>509</v>
      </c>
      <c r="SR60" s="806">
        <f t="shared" ref="SR60:SR77" si="431">RC60/QR60</f>
        <v>0.49999999999999989</v>
      </c>
      <c r="SS60" s="806">
        <f t="shared" ref="SS60:SS77" si="432">RD60/QS60</f>
        <v>0.49999999999999989</v>
      </c>
      <c r="ST60" s="806">
        <f t="shared" ref="ST60:ST77" si="433">RE60/QT60</f>
        <v>0.49999999999999989</v>
      </c>
      <c r="SU60" s="806">
        <f t="shared" ref="SU60:SU77" si="434">RF60/QU60</f>
        <v>0.49999999999999989</v>
      </c>
      <c r="SV60" s="806">
        <f t="shared" ref="SV60:SV77" si="435">RG60/QV60</f>
        <v>0.99999974064359209</v>
      </c>
      <c r="SW60" s="806">
        <f t="shared" ref="SW60:SW77" si="436">RH60/QW60</f>
        <v>0.50005703904353094</v>
      </c>
      <c r="SX60" s="806">
        <f t="shared" ref="SX60:SX77" si="437">RI60/QX60</f>
        <v>0.50002413985724259</v>
      </c>
      <c r="SY60" s="806">
        <f t="shared" ref="SY60:SY77" si="438">RJ60/QY60</f>
        <v>1</v>
      </c>
      <c r="SZ60" s="806">
        <f t="shared" ref="SZ60:SZ77" si="439">RK60/QZ60</f>
        <v>7.6893314885550193E-2</v>
      </c>
      <c r="TA60" s="806"/>
      <c r="TB60" s="806">
        <f t="shared" ref="TB60:TB77" si="440">RM60/QR60</f>
        <v>0.49999999999999989</v>
      </c>
      <c r="TC60" s="806">
        <f t="shared" ref="TC60:TC77" si="441">RN60/QS60</f>
        <v>0.49999999999999989</v>
      </c>
      <c r="TD60" s="806">
        <f t="shared" ref="TD60:TD77" si="442">RO60/QT60</f>
        <v>0.49999999999999989</v>
      </c>
      <c r="TE60" s="806">
        <f t="shared" ref="TE60:TE77" si="443">RP60/QU60</f>
        <v>0.49999999999999989</v>
      </c>
      <c r="TF60" s="806">
        <f t="shared" ref="TF60:TF77" si="444">RQ60/QV60</f>
        <v>0.50001425412964462</v>
      </c>
      <c r="TG60" s="806">
        <f t="shared" ref="TG60:TG77" si="445">RR60/QW60</f>
        <v>0.50001729190391209</v>
      </c>
      <c r="TH60" s="806">
        <f t="shared" ref="TH60:TH77" si="446">RS60/QX60</f>
        <v>0.50001217581058555</v>
      </c>
      <c r="TI60" s="806">
        <f t="shared" ref="TI60:TI77" si="447">RT60/QY60</f>
        <v>1</v>
      </c>
      <c r="TJ60" s="806">
        <f t="shared" ref="TJ60:TJ77" si="448">RU60/QZ60</f>
        <v>7.6893314885550193E-2</v>
      </c>
      <c r="TK60" s="806"/>
      <c r="TL60" s="806">
        <f t="shared" ref="TL60:TL77" si="449">RW60/QR60</f>
        <v>0.49999999999999989</v>
      </c>
      <c r="TM60" s="806">
        <f t="shared" ref="TM60:TM77" si="450">RX60/QS60</f>
        <v>0.49999999999999989</v>
      </c>
      <c r="TN60" s="806">
        <f t="shared" ref="TN60:TN77" si="451">RY60/QT60</f>
        <v>0.49999999999999989</v>
      </c>
      <c r="TO60" s="806">
        <f t="shared" ref="TO60:TO77" si="452">RZ60/QU60</f>
        <v>0.49999999999999989</v>
      </c>
      <c r="TP60" s="806">
        <f t="shared" ref="TP60:TP77" si="453">SA60/QV60</f>
        <v>0.50000623657100107</v>
      </c>
      <c r="TQ60" s="806">
        <f t="shared" ref="TQ60:TQ77" si="454">SB60/QW60</f>
        <v>0.50001228686700583</v>
      </c>
      <c r="TR60" s="806">
        <f t="shared" ref="TR60:TR77" si="455">SC60/QX60</f>
        <v>0.50000692338078079</v>
      </c>
      <c r="TS60" s="806">
        <f t="shared" ref="TS60:TS77" si="456">SD60/QY60</f>
        <v>4.4790823149986687E-43</v>
      </c>
      <c r="TT60" s="806">
        <f t="shared" ref="TT60:TT77" si="457">SE60/QZ60</f>
        <v>7.6893314885550193E-2</v>
      </c>
      <c r="TU60" s="806"/>
      <c r="TV60" s="806">
        <f t="shared" ref="TV60:TV77" si="458">SG60/QR60</f>
        <v>0.49999999999999989</v>
      </c>
      <c r="TW60" s="806">
        <f t="shared" ref="TW60:TW77" si="459">SH60/QS60</f>
        <v>0.49999999999999989</v>
      </c>
      <c r="TX60" s="806">
        <f t="shared" ref="TX60:TX77" si="460">SI60/QT60</f>
        <v>0.49999999999999989</v>
      </c>
      <c r="TY60" s="806">
        <f t="shared" ref="TY60:TY77" si="461">SJ60/QU60</f>
        <v>0.49999999999999989</v>
      </c>
      <c r="TZ60" s="806">
        <f t="shared" ref="TZ60:TZ77" si="462">SK60/QV60</f>
        <v>0.50000625346647198</v>
      </c>
      <c r="UA60" s="806">
        <f t="shared" ref="UA60:UA77" si="463">SL60/QW60</f>
        <v>0.50000719914828839</v>
      </c>
      <c r="UB60" s="806">
        <f t="shared" ref="UB60:UB77" si="464">SM60/QX60</f>
        <v>0.50000321180475982</v>
      </c>
      <c r="UC60" s="806">
        <f t="shared" ref="UC60:UC77" si="465">SN60/QY60</f>
        <v>4.4790823730139209E-43</v>
      </c>
      <c r="UD60" s="1439">
        <f t="shared" ref="UD60:UD77" si="466">SO60/QZ60</f>
        <v>7.6893314885550193E-2</v>
      </c>
      <c r="UE60" s="7" t="s">
        <v>509</v>
      </c>
    </row>
    <row r="61" spans="3:551" s="7" customFormat="1" x14ac:dyDescent="0.25">
      <c r="C61" s="21"/>
      <c r="D61" s="1308">
        <v>44036</v>
      </c>
      <c r="E61" s="233">
        <f t="shared" ca="1" si="321"/>
        <v>16</v>
      </c>
      <c r="F61" s="1392">
        <f t="shared" ca="1" si="321"/>
        <v>34</v>
      </c>
      <c r="G61" s="1392">
        <f t="shared" ca="1" si="321"/>
        <v>38</v>
      </c>
      <c r="H61" s="1392">
        <f t="shared" ca="1" si="321"/>
        <v>40</v>
      </c>
      <c r="I61" s="1392">
        <f t="shared" ca="1" si="321"/>
        <v>20</v>
      </c>
      <c r="J61" s="1392">
        <f t="shared" ca="1" si="321"/>
        <v>37</v>
      </c>
      <c r="K61" s="1392">
        <f t="shared" ca="1" si="321"/>
        <v>44</v>
      </c>
      <c r="L61" s="1392">
        <f t="shared" ca="1" si="321"/>
        <v>6</v>
      </c>
      <c r="M61" s="1392">
        <f t="shared" ca="1" si="321"/>
        <v>72</v>
      </c>
      <c r="N61" s="1392">
        <f t="shared" ca="1" si="321"/>
        <v>32</v>
      </c>
      <c r="O61" s="1392">
        <f t="shared" ca="1" si="322"/>
        <v>71</v>
      </c>
      <c r="P61" s="1392">
        <f t="shared" ca="1" si="322"/>
        <v>76</v>
      </c>
      <c r="Q61" s="1392">
        <f t="shared" ca="1" si="322"/>
        <v>32</v>
      </c>
      <c r="R61" s="1392">
        <f t="shared" ca="1" si="322"/>
        <v>46</v>
      </c>
      <c r="S61" s="1392">
        <f t="shared" ca="1" si="322"/>
        <v>9</v>
      </c>
      <c r="T61" s="1392">
        <f t="shared" ca="1" si="322"/>
        <v>44</v>
      </c>
      <c r="U61" s="1392">
        <f t="shared" ca="1" si="322"/>
        <v>65</v>
      </c>
      <c r="V61" s="1392">
        <f t="shared" ca="1" si="322"/>
        <v>32</v>
      </c>
      <c r="W61" s="1392">
        <f t="shared" ca="1" si="322"/>
        <v>61</v>
      </c>
      <c r="X61" s="1392">
        <f t="shared" ca="1" si="322"/>
        <v>37</v>
      </c>
      <c r="Y61" s="1392">
        <f t="shared" ca="1" si="323"/>
        <v>27</v>
      </c>
      <c r="Z61" s="1392">
        <f t="shared" ca="1" si="323"/>
        <v>72</v>
      </c>
      <c r="AA61" s="1392">
        <f t="shared" ca="1" si="323"/>
        <v>50</v>
      </c>
      <c r="AB61" s="1392">
        <f t="shared" ca="1" si="323"/>
        <v>69</v>
      </c>
      <c r="AC61" s="1392">
        <f t="shared" ca="1" si="323"/>
        <v>20</v>
      </c>
      <c r="AD61" s="1392">
        <f t="shared" ca="1" si="323"/>
        <v>23</v>
      </c>
      <c r="AE61" s="1392">
        <f t="shared" ca="1" si="323"/>
        <v>41</v>
      </c>
      <c r="AF61" s="1392">
        <f t="shared" ca="1" si="323"/>
        <v>7</v>
      </c>
      <c r="AG61" s="1392">
        <f t="shared" ca="1" si="323"/>
        <v>62</v>
      </c>
      <c r="AH61" s="1392">
        <f t="shared" ca="1" si="323"/>
        <v>59</v>
      </c>
      <c r="AI61" s="1392">
        <f t="shared" ca="1" si="324"/>
        <v>53</v>
      </c>
      <c r="AJ61" s="1392">
        <f t="shared" ca="1" si="324"/>
        <v>71</v>
      </c>
      <c r="AK61" s="1392">
        <f t="shared" ca="1" si="324"/>
        <v>76</v>
      </c>
      <c r="AL61" s="1392">
        <f t="shared" ca="1" si="324"/>
        <v>27</v>
      </c>
      <c r="AM61" s="1392">
        <f t="shared" ca="1" si="324"/>
        <v>68</v>
      </c>
      <c r="AN61" s="1392">
        <f t="shared" ca="1" si="324"/>
        <v>6</v>
      </c>
      <c r="AO61" s="1392">
        <f t="shared" ca="1" si="324"/>
        <v>22</v>
      </c>
      <c r="AP61" s="1392">
        <f t="shared" ca="1" si="324"/>
        <v>42</v>
      </c>
      <c r="AQ61" s="1392">
        <f t="shared" ca="1" si="324"/>
        <v>23</v>
      </c>
      <c r="AR61" s="1392">
        <f t="shared" ca="1" si="324"/>
        <v>79</v>
      </c>
      <c r="AS61" s="1392">
        <f t="shared" ca="1" si="325"/>
        <v>56</v>
      </c>
      <c r="AT61" s="1392">
        <f t="shared" ca="1" si="325"/>
        <v>56</v>
      </c>
      <c r="AU61" s="1392">
        <f t="shared" ca="1" si="325"/>
        <v>80</v>
      </c>
      <c r="AV61" s="1392">
        <f t="shared" ca="1" si="325"/>
        <v>14</v>
      </c>
      <c r="AW61" s="1392">
        <f t="shared" ca="1" si="325"/>
        <v>72</v>
      </c>
      <c r="AX61" s="1392">
        <f t="shared" ca="1" si="325"/>
        <v>59</v>
      </c>
      <c r="AY61" s="1392">
        <f t="shared" ca="1" si="325"/>
        <v>42</v>
      </c>
      <c r="AZ61" s="1392">
        <f t="shared" ca="1" si="325"/>
        <v>63</v>
      </c>
      <c r="BA61" s="1392">
        <f t="shared" ca="1" si="325"/>
        <v>46</v>
      </c>
      <c r="BB61" s="1392">
        <f t="shared" ca="1" si="325"/>
        <v>33</v>
      </c>
      <c r="BC61" s="1392">
        <f t="shared" ca="1" si="326"/>
        <v>57</v>
      </c>
      <c r="BD61" s="1392">
        <f t="shared" ca="1" si="326"/>
        <v>78</v>
      </c>
      <c r="BE61" s="1392">
        <f t="shared" ca="1" si="326"/>
        <v>30</v>
      </c>
      <c r="BF61" s="1392">
        <f t="shared" ca="1" si="326"/>
        <v>65</v>
      </c>
      <c r="BG61" s="1392">
        <f t="shared" ca="1" si="326"/>
        <v>49</v>
      </c>
      <c r="BH61" s="1392">
        <f t="shared" ca="1" si="326"/>
        <v>59</v>
      </c>
      <c r="BI61" s="1392">
        <f t="shared" ca="1" si="326"/>
        <v>50</v>
      </c>
      <c r="BJ61" s="1392">
        <f t="shared" ca="1" si="326"/>
        <v>45</v>
      </c>
      <c r="BK61" s="1392">
        <f t="shared" ca="1" si="326"/>
        <v>61</v>
      </c>
      <c r="BL61" s="1392">
        <f t="shared" ca="1" si="326"/>
        <v>73</v>
      </c>
      <c r="BM61" s="1392">
        <f t="shared" ca="1" si="327"/>
        <v>49</v>
      </c>
      <c r="BN61" s="1392">
        <f t="shared" ca="1" si="327"/>
        <v>39</v>
      </c>
      <c r="BO61" s="1392">
        <f t="shared" ca="1" si="327"/>
        <v>36</v>
      </c>
      <c r="BP61" s="1392">
        <f t="shared" ca="1" si="327"/>
        <v>22</v>
      </c>
      <c r="BQ61" s="1392">
        <f t="shared" ca="1" si="327"/>
        <v>26</v>
      </c>
      <c r="BR61" s="1392">
        <f t="shared" ca="1" si="327"/>
        <v>39</v>
      </c>
      <c r="BS61" s="1392">
        <f t="shared" ca="1" si="327"/>
        <v>55</v>
      </c>
      <c r="BT61" s="1392">
        <f t="shared" ca="1" si="327"/>
        <v>31</v>
      </c>
      <c r="BU61" s="1392">
        <f t="shared" ca="1" si="327"/>
        <v>40</v>
      </c>
      <c r="BV61" s="1392">
        <f t="shared" ca="1" si="327"/>
        <v>61</v>
      </c>
      <c r="BW61" s="1392">
        <f t="shared" ca="1" si="328"/>
        <v>74</v>
      </c>
      <c r="BX61" s="1392">
        <f t="shared" ca="1" si="328"/>
        <v>29</v>
      </c>
      <c r="BY61" s="1392">
        <f t="shared" ca="1" si="328"/>
        <v>40</v>
      </c>
      <c r="BZ61" s="1392">
        <f t="shared" ca="1" si="328"/>
        <v>70</v>
      </c>
      <c r="CA61" s="1392">
        <f t="shared" ca="1" si="328"/>
        <v>48</v>
      </c>
      <c r="CB61" s="1392">
        <f t="shared" ca="1" si="328"/>
        <v>55</v>
      </c>
      <c r="CC61" s="1392">
        <f t="shared" ca="1" si="328"/>
        <v>53</v>
      </c>
      <c r="CD61" s="1392">
        <f t="shared" ca="1" si="328"/>
        <v>38</v>
      </c>
      <c r="CE61" s="1392">
        <f t="shared" ca="1" si="328"/>
        <v>36</v>
      </c>
      <c r="CF61" s="1392">
        <f t="shared" ca="1" si="328"/>
        <v>46</v>
      </c>
      <c r="CG61" s="1392">
        <f t="shared" ca="1" si="329"/>
        <v>65</v>
      </c>
      <c r="CH61" s="1392">
        <f t="shared" ca="1" si="329"/>
        <v>42</v>
      </c>
      <c r="CI61" s="1392">
        <f t="shared" ca="1" si="329"/>
        <v>32</v>
      </c>
      <c r="CJ61" s="1392">
        <f t="shared" ca="1" si="329"/>
        <v>70</v>
      </c>
      <c r="CK61" s="1392">
        <f t="shared" ca="1" si="329"/>
        <v>41</v>
      </c>
      <c r="CL61" s="1392">
        <f t="shared" ca="1" si="329"/>
        <v>53</v>
      </c>
      <c r="CM61" s="1392">
        <f t="shared" ca="1" si="329"/>
        <v>71</v>
      </c>
      <c r="CN61" s="1392">
        <f t="shared" ca="1" si="329"/>
        <v>11</v>
      </c>
      <c r="CO61" s="1392">
        <f t="shared" ca="1" si="329"/>
        <v>38</v>
      </c>
      <c r="CP61" s="1392">
        <f t="shared" ca="1" si="329"/>
        <v>28</v>
      </c>
      <c r="CQ61" s="1392">
        <f t="shared" ca="1" si="330"/>
        <v>58</v>
      </c>
      <c r="CR61" s="1392">
        <f t="shared" ca="1" si="330"/>
        <v>48</v>
      </c>
      <c r="CS61" s="1392">
        <f t="shared" ca="1" si="330"/>
        <v>40</v>
      </c>
      <c r="CT61" s="1392">
        <f t="shared" ca="1" si="330"/>
        <v>16</v>
      </c>
      <c r="CU61" s="1392">
        <f t="shared" ca="1" si="330"/>
        <v>50</v>
      </c>
      <c r="CV61" s="1392">
        <f t="shared" ca="1" si="330"/>
        <v>21</v>
      </c>
      <c r="CW61" s="1392">
        <f t="shared" ca="1" si="330"/>
        <v>75</v>
      </c>
      <c r="CX61" s="1392">
        <f t="shared" ca="1" si="330"/>
        <v>75</v>
      </c>
      <c r="CY61" s="1392">
        <f t="shared" ca="1" si="330"/>
        <v>80</v>
      </c>
      <c r="CZ61" s="1392">
        <f t="shared" ca="1" si="330"/>
        <v>9</v>
      </c>
      <c r="DA61" s="1392">
        <f t="shared" ca="1" si="331"/>
        <v>65</v>
      </c>
      <c r="DB61" s="1392">
        <f t="shared" ca="1" si="331"/>
        <v>42</v>
      </c>
      <c r="DC61" s="1392">
        <f t="shared" ca="1" si="331"/>
        <v>19</v>
      </c>
      <c r="DD61" s="1392">
        <f t="shared" ca="1" si="331"/>
        <v>12</v>
      </c>
      <c r="DE61" s="1392">
        <f t="shared" ca="1" si="331"/>
        <v>64</v>
      </c>
      <c r="DF61" s="1392">
        <f t="shared" ca="1" si="331"/>
        <v>48</v>
      </c>
      <c r="DG61" s="1392">
        <f t="shared" ca="1" si="331"/>
        <v>42</v>
      </c>
      <c r="DH61" s="1392">
        <f t="shared" ca="1" si="331"/>
        <v>53</v>
      </c>
      <c r="DI61" s="1392">
        <f t="shared" ca="1" si="331"/>
        <v>49</v>
      </c>
      <c r="DJ61" s="1392">
        <f t="shared" ca="1" si="331"/>
        <v>27</v>
      </c>
      <c r="DK61" s="1392">
        <f t="shared" ca="1" si="332"/>
        <v>37</v>
      </c>
      <c r="DL61" s="1392">
        <f t="shared" ca="1" si="332"/>
        <v>24</v>
      </c>
      <c r="DM61" s="1392">
        <f t="shared" ca="1" si="332"/>
        <v>50</v>
      </c>
      <c r="DN61" s="1392">
        <f t="shared" ca="1" si="332"/>
        <v>67</v>
      </c>
      <c r="DO61" s="1392">
        <f t="shared" ca="1" si="332"/>
        <v>73</v>
      </c>
      <c r="DP61" s="1392">
        <f t="shared" ca="1" si="332"/>
        <v>38</v>
      </c>
      <c r="DQ61" s="1392">
        <f t="shared" ca="1" si="332"/>
        <v>65</v>
      </c>
      <c r="DR61" s="1392">
        <f t="shared" ca="1" si="332"/>
        <v>53</v>
      </c>
      <c r="DS61" s="1392">
        <f t="shared" ca="1" si="332"/>
        <v>13</v>
      </c>
      <c r="DT61" s="1392">
        <f t="shared" ca="1" si="332"/>
        <v>17</v>
      </c>
      <c r="DU61" s="1392">
        <f t="shared" ca="1" si="333"/>
        <v>26</v>
      </c>
      <c r="DV61" s="1392">
        <f t="shared" ca="1" si="333"/>
        <v>41</v>
      </c>
      <c r="DW61" s="1392">
        <f t="shared" ca="1" si="333"/>
        <v>51</v>
      </c>
      <c r="DX61" s="1392">
        <f t="shared" ca="1" si="333"/>
        <v>72</v>
      </c>
      <c r="DY61" s="1392">
        <f t="shared" ca="1" si="333"/>
        <v>8</v>
      </c>
      <c r="DZ61" s="1392">
        <f t="shared" ca="1" si="333"/>
        <v>67</v>
      </c>
      <c r="EA61" s="1392">
        <f t="shared" ca="1" si="333"/>
        <v>52</v>
      </c>
      <c r="EB61" s="1392">
        <f t="shared" ca="1" si="333"/>
        <v>39</v>
      </c>
      <c r="EC61" s="1392">
        <f t="shared" ca="1" si="333"/>
        <v>18</v>
      </c>
      <c r="ED61" s="1392">
        <f t="shared" ca="1" si="333"/>
        <v>79</v>
      </c>
      <c r="EE61" s="1392">
        <f t="shared" ca="1" si="334"/>
        <v>43</v>
      </c>
      <c r="EF61" s="1392">
        <f t="shared" ca="1" si="334"/>
        <v>67</v>
      </c>
      <c r="EG61" s="1392">
        <f t="shared" ca="1" si="334"/>
        <v>51</v>
      </c>
      <c r="EH61" s="1392">
        <f t="shared" ca="1" si="334"/>
        <v>24</v>
      </c>
      <c r="EI61" s="1392">
        <f t="shared" ca="1" si="334"/>
        <v>59</v>
      </c>
      <c r="EJ61" s="1392">
        <f t="shared" ca="1" si="334"/>
        <v>67</v>
      </c>
      <c r="EK61" s="1392">
        <f t="shared" ca="1" si="334"/>
        <v>41</v>
      </c>
      <c r="EL61" s="1392">
        <f t="shared" ca="1" si="334"/>
        <v>51</v>
      </c>
      <c r="EM61" s="1392">
        <f t="shared" ca="1" si="334"/>
        <v>39</v>
      </c>
      <c r="EN61" s="1392">
        <f t="shared" ca="1" si="334"/>
        <v>50</v>
      </c>
      <c r="EO61" s="1392">
        <f t="shared" ca="1" si="334"/>
        <v>28</v>
      </c>
      <c r="EP61" s="1392">
        <f t="shared" ca="1" si="334"/>
        <v>53</v>
      </c>
      <c r="EQ61" s="1392">
        <f t="shared" ca="1" si="334"/>
        <v>64</v>
      </c>
      <c r="ER61" s="1393">
        <f t="shared" ca="1" si="334"/>
        <v>31</v>
      </c>
      <c r="ES61" s="377"/>
      <c r="ET61" s="316">
        <f t="shared" ca="1" si="335"/>
        <v>54.598150033144236</v>
      </c>
      <c r="EU61" s="1392">
        <f t="shared" ca="1" si="20"/>
        <v>4914.7688402991344</v>
      </c>
      <c r="EV61" s="1392">
        <f t="shared" ca="1" si="21"/>
        <v>13359.726829661873</v>
      </c>
      <c r="EW61" s="1392">
        <f t="shared" ca="1" si="22"/>
        <v>22026.465794806718</v>
      </c>
      <c r="EX61" s="1392">
        <f t="shared" ca="1" si="23"/>
        <v>148.4131591025766</v>
      </c>
      <c r="EY61" s="1392">
        <f t="shared" ca="1" si="24"/>
        <v>10404.565716560723</v>
      </c>
      <c r="EZ61" s="1392">
        <f t="shared" ca="1" si="25"/>
        <v>59874.141715197817</v>
      </c>
      <c r="FA61" s="1392">
        <f t="shared" ca="1" si="26"/>
        <v>4.4816890703380645</v>
      </c>
      <c r="FB61" s="1392">
        <f t="shared" ca="1" si="27"/>
        <v>65659969.13733051</v>
      </c>
      <c r="FC61" s="1392">
        <f t="shared" ca="1" si="28"/>
        <v>2980.9579870417283</v>
      </c>
      <c r="FD61" s="1392">
        <f t="shared" ca="1" si="29"/>
        <v>51136035.380597278</v>
      </c>
      <c r="FE61" s="1392">
        <f t="shared" ca="1" si="30"/>
        <v>178482300.96318725</v>
      </c>
      <c r="FF61" s="1392">
        <f t="shared" ca="1" si="31"/>
        <v>2980.9579870417283</v>
      </c>
      <c r="FG61" s="1392">
        <f t="shared" ca="1" si="32"/>
        <v>98715.771010760494</v>
      </c>
      <c r="FH61" s="1392">
        <f t="shared" ca="1" si="33"/>
        <v>9.4877358363585262</v>
      </c>
      <c r="FI61" s="1392">
        <f t="shared" ca="1" si="34"/>
        <v>59874.141715197817</v>
      </c>
      <c r="FJ61" s="1392">
        <f t="shared" ca="1" si="35"/>
        <v>11409991.763828445</v>
      </c>
      <c r="FK61" s="1392">
        <f t="shared" ca="1" si="36"/>
        <v>2980.9579870417283</v>
      </c>
      <c r="FL61" s="1392">
        <f t="shared" ca="1" si="37"/>
        <v>4197501.3938479675</v>
      </c>
      <c r="FM61" s="1392">
        <f t="shared" ca="1" si="38"/>
        <v>10404.565716560723</v>
      </c>
      <c r="FN61" s="1392">
        <f t="shared" ca="1" si="39"/>
        <v>854.05876252615155</v>
      </c>
      <c r="FO61" s="1392">
        <f t="shared" ca="1" si="40"/>
        <v>65659969.13733051</v>
      </c>
      <c r="FP61" s="1392">
        <f t="shared" ca="1" si="41"/>
        <v>268337.28652087448</v>
      </c>
      <c r="FQ61" s="1392">
        <f t="shared" ca="1" si="42"/>
        <v>31015573.274482232</v>
      </c>
      <c r="FR61" s="1392">
        <f t="shared" ca="1" si="43"/>
        <v>148.4131591025766</v>
      </c>
      <c r="FS61" s="1392">
        <f t="shared" ca="1" si="44"/>
        <v>314.19066028569421</v>
      </c>
      <c r="FT61" s="1392">
        <f t="shared" ca="1" si="45"/>
        <v>28282.541920334977</v>
      </c>
      <c r="FU61" s="1392">
        <f t="shared" ca="1" si="46"/>
        <v>5.7546026760057307</v>
      </c>
      <c r="FV61" s="1392">
        <f t="shared" ca="1" si="47"/>
        <v>5389698.476283012</v>
      </c>
      <c r="FW61" s="1392">
        <f t="shared" ca="1" si="48"/>
        <v>2545913.2895553061</v>
      </c>
      <c r="FX61" s="1392">
        <f t="shared" ca="1" si="49"/>
        <v>568070.04002249124</v>
      </c>
      <c r="FY61" s="1392">
        <f t="shared" ca="1" si="50"/>
        <v>51136035.380597278</v>
      </c>
      <c r="FZ61" s="1392">
        <f t="shared" ca="1" si="51"/>
        <v>178482300.96318725</v>
      </c>
      <c r="GA61" s="1392">
        <f t="shared" ca="1" si="52"/>
        <v>854.05876252615155</v>
      </c>
      <c r="GB61" s="1392">
        <f t="shared" ca="1" si="53"/>
        <v>24154952.753575299</v>
      </c>
      <c r="GC61" s="1392">
        <f t="shared" ca="1" si="54"/>
        <v>4.4816890703380645</v>
      </c>
      <c r="GD61" s="1392">
        <f t="shared" ca="1" si="55"/>
        <v>244.69193226422038</v>
      </c>
      <c r="GE61" s="1392">
        <f t="shared" ca="1" si="56"/>
        <v>36315.502674246636</v>
      </c>
      <c r="GF61" s="1392">
        <f t="shared" ca="1" si="57"/>
        <v>314.19066028569421</v>
      </c>
      <c r="GG61" s="1392">
        <f t="shared" ca="1" si="58"/>
        <v>377847034.10413581</v>
      </c>
      <c r="GH61" s="1392">
        <f t="shared" ca="1" si="59"/>
        <v>1202604.2841647768</v>
      </c>
      <c r="GI61" s="1392">
        <f t="shared" ca="1" si="60"/>
        <v>1202604.2841647768</v>
      </c>
      <c r="GJ61" s="1392">
        <f t="shared" ca="1" si="61"/>
        <v>485165195.40979028</v>
      </c>
      <c r="GK61" s="1392">
        <f t="shared" ca="1" si="62"/>
        <v>33.115451958692312</v>
      </c>
      <c r="GL61" s="1392">
        <f t="shared" ca="1" si="63"/>
        <v>65659969.13733051</v>
      </c>
      <c r="GM61" s="1392">
        <f t="shared" ca="1" si="64"/>
        <v>2545913.2895553061</v>
      </c>
      <c r="GN61" s="1392">
        <f t="shared" ca="1" si="65"/>
        <v>36315.502674246636</v>
      </c>
      <c r="GO61" s="1392">
        <f t="shared" ca="1" si="66"/>
        <v>6920509.8318305807</v>
      </c>
      <c r="GP61" s="1392">
        <f t="shared" ca="1" si="67"/>
        <v>98715.771010760494</v>
      </c>
      <c r="GQ61" s="1392">
        <f t="shared" ca="1" si="68"/>
        <v>3827.6258214399063</v>
      </c>
      <c r="GR61" s="1392">
        <f t="shared" ca="1" si="69"/>
        <v>1544174.4670851405</v>
      </c>
      <c r="GS61" s="1392">
        <f t="shared" ca="1" si="70"/>
        <v>294267566.04150879</v>
      </c>
      <c r="GT61" s="1392">
        <f t="shared" ca="1" si="71"/>
        <v>1808.0424144560632</v>
      </c>
      <c r="GU61" s="1392">
        <f t="shared" ca="1" si="72"/>
        <v>11409991.763828445</v>
      </c>
      <c r="GV61" s="1392">
        <f t="shared" ca="1" si="73"/>
        <v>208981.28886971297</v>
      </c>
      <c r="GW61" s="1392">
        <f t="shared" ca="1" si="74"/>
        <v>2545913.2895553061</v>
      </c>
      <c r="GX61" s="1392">
        <f t="shared" ca="1" si="75"/>
        <v>268337.28652087448</v>
      </c>
      <c r="GY61" s="1392">
        <f t="shared" ca="1" si="76"/>
        <v>76879.919764677761</v>
      </c>
      <c r="GZ61" s="1392">
        <f t="shared" ca="1" si="77"/>
        <v>4197501.3938479675</v>
      </c>
      <c r="HA61" s="1392">
        <f t="shared" ca="1" si="78"/>
        <v>84309069.231265053</v>
      </c>
      <c r="HB61" s="1392">
        <f t="shared" ca="1" si="79"/>
        <v>208981.28886971297</v>
      </c>
      <c r="HC61" s="1392">
        <f t="shared" ca="1" si="80"/>
        <v>17154.228809290984</v>
      </c>
      <c r="HD61" s="1392">
        <f t="shared" ca="1" si="81"/>
        <v>8103.0839275753842</v>
      </c>
      <c r="HE61" s="1392">
        <f t="shared" ca="1" si="82"/>
        <v>244.69193226422038</v>
      </c>
      <c r="HF61" s="1392">
        <f t="shared" ca="1" si="83"/>
        <v>665.14163304436181</v>
      </c>
      <c r="HG61" s="1392">
        <f t="shared" ca="1" si="84"/>
        <v>17154.228809290984</v>
      </c>
      <c r="HH61" s="1392">
        <f t="shared" ca="1" si="85"/>
        <v>936589.15823255444</v>
      </c>
      <c r="HI61" s="1392">
        <f t="shared" ca="1" si="86"/>
        <v>2321.572414611057</v>
      </c>
      <c r="HJ61" s="1392">
        <f t="shared" ca="1" si="87"/>
        <v>22026.465794806718</v>
      </c>
      <c r="HK61" s="1392">
        <f t="shared" ca="1" si="88"/>
        <v>4197501.3938479675</v>
      </c>
      <c r="HL61" s="1392">
        <f t="shared" ca="1" si="89"/>
        <v>108254987.75023076</v>
      </c>
      <c r="HM61" s="1392">
        <f t="shared" ca="1" si="90"/>
        <v>1408.1048482046956</v>
      </c>
      <c r="HN61" s="1392">
        <f t="shared" ca="1" si="91"/>
        <v>22026.465794806718</v>
      </c>
      <c r="HO61" s="1392">
        <f t="shared" ca="1" si="92"/>
        <v>39824784.397576228</v>
      </c>
      <c r="HP61" s="1392">
        <f t="shared" ca="1" si="93"/>
        <v>162754.79141900392</v>
      </c>
      <c r="HQ61" s="1392">
        <f t="shared" ca="1" si="94"/>
        <v>936589.15823255444</v>
      </c>
      <c r="HR61" s="1392">
        <f t="shared" ca="1" si="95"/>
        <v>568070.04002249124</v>
      </c>
      <c r="HS61" s="1392">
        <f t="shared" ca="1" si="96"/>
        <v>13359.726829661873</v>
      </c>
      <c r="HT61" s="1392">
        <f t="shared" ca="1" si="97"/>
        <v>8103.0839275753842</v>
      </c>
      <c r="HU61" s="1392">
        <f t="shared" ca="1" si="98"/>
        <v>98715.771010760494</v>
      </c>
      <c r="HV61" s="1392">
        <f t="shared" ca="1" si="99"/>
        <v>11409991.763828445</v>
      </c>
      <c r="HW61" s="1392">
        <f t="shared" ca="1" si="100"/>
        <v>36315.502674246636</v>
      </c>
      <c r="HX61" s="1392">
        <f t="shared" ca="1" si="101"/>
        <v>2980.9579870417283</v>
      </c>
      <c r="HY61" s="1392">
        <f t="shared" ca="1" si="102"/>
        <v>39824784.397576228</v>
      </c>
      <c r="HZ61" s="1392">
        <f t="shared" ca="1" si="103"/>
        <v>28282.541920334977</v>
      </c>
      <c r="IA61" s="1392">
        <f t="shared" ca="1" si="104"/>
        <v>568070.04002249124</v>
      </c>
      <c r="IB61" s="1392">
        <f t="shared" ca="1" si="105"/>
        <v>51136035.380597278</v>
      </c>
      <c r="IC61" s="1392">
        <f t="shared" ca="1" si="106"/>
        <v>15.642631884188171</v>
      </c>
      <c r="ID61" s="1392">
        <f t="shared" ca="1" si="107"/>
        <v>13359.726829661873</v>
      </c>
      <c r="IE61" s="1392">
        <f t="shared" ca="1" si="108"/>
        <v>1096.6331584284585</v>
      </c>
      <c r="IF61" s="1392">
        <f t="shared" ca="1" si="109"/>
        <v>1982759.2635375687</v>
      </c>
      <c r="IG61" s="1392">
        <f t="shared" ca="1" si="110"/>
        <v>162754.79141900392</v>
      </c>
      <c r="IH61" s="1392">
        <f t="shared" ca="1" si="111"/>
        <v>22026.465794806718</v>
      </c>
      <c r="II61" s="1392">
        <f t="shared" ca="1" si="112"/>
        <v>54.598150033144236</v>
      </c>
      <c r="IJ61" s="1392">
        <f t="shared" ca="1" si="113"/>
        <v>268337.28652087448</v>
      </c>
      <c r="IK61" s="1392">
        <f t="shared" ca="1" si="114"/>
        <v>190.56626845862999</v>
      </c>
      <c r="IL61" s="1392">
        <f t="shared" ca="1" si="115"/>
        <v>139002155.75451639</v>
      </c>
      <c r="IM61" s="1392">
        <f t="shared" ca="1" si="116"/>
        <v>139002155.75451639</v>
      </c>
      <c r="IN61" s="1392">
        <f t="shared" ca="1" si="117"/>
        <v>485165195.40979028</v>
      </c>
      <c r="IO61" s="1392">
        <f t="shared" ca="1" si="118"/>
        <v>9.4877358363585262</v>
      </c>
      <c r="IP61" s="1392">
        <f t="shared" ca="1" si="119"/>
        <v>11409991.763828445</v>
      </c>
      <c r="IQ61" s="1392">
        <f t="shared" ca="1" si="120"/>
        <v>36315.502674246636</v>
      </c>
      <c r="IR61" s="1392">
        <f t="shared" ca="1" si="121"/>
        <v>115.58428452718766</v>
      </c>
      <c r="IS61" s="1392">
        <f t="shared" ca="1" si="122"/>
        <v>20.085536923187668</v>
      </c>
      <c r="IT61" s="1392">
        <f t="shared" ca="1" si="123"/>
        <v>8886110.5205078721</v>
      </c>
      <c r="IU61" s="1392">
        <f t="shared" ca="1" si="124"/>
        <v>162754.79141900392</v>
      </c>
      <c r="IV61" s="1392">
        <f t="shared" ca="1" si="125"/>
        <v>36315.502674246636</v>
      </c>
      <c r="IW61" s="1392">
        <f t="shared" ca="1" si="126"/>
        <v>568070.04002249124</v>
      </c>
      <c r="IX61" s="1392">
        <f t="shared" ca="1" si="127"/>
        <v>208981.28886971297</v>
      </c>
      <c r="IY61" s="1392">
        <f t="shared" ca="1" si="128"/>
        <v>854.05876252615155</v>
      </c>
      <c r="IZ61" s="1392">
        <f t="shared" ca="1" si="129"/>
        <v>10404.565716560723</v>
      </c>
      <c r="JA61" s="1392">
        <f t="shared" ca="1" si="130"/>
        <v>403.42879349273511</v>
      </c>
      <c r="JB61" s="1392">
        <f t="shared" ca="1" si="131"/>
        <v>268337.28652087448</v>
      </c>
      <c r="JC61" s="1392">
        <f t="shared" ca="1" si="132"/>
        <v>18811896.119537231</v>
      </c>
      <c r="JD61" s="1392">
        <f t="shared" ca="1" si="133"/>
        <v>84309069.231265053</v>
      </c>
      <c r="JE61" s="1392">
        <f t="shared" ca="1" si="134"/>
        <v>13359.726829661873</v>
      </c>
      <c r="JF61" s="1392">
        <f t="shared" ca="1" si="135"/>
        <v>11409991.763828445</v>
      </c>
      <c r="JG61" s="1392">
        <f t="shared" ca="1" si="136"/>
        <v>568070.04002249124</v>
      </c>
      <c r="JH61" s="1392">
        <f t="shared" ca="1" si="137"/>
        <v>25.790339917193062</v>
      </c>
      <c r="JI61" s="1392">
        <f t="shared" ca="1" si="138"/>
        <v>70.105412346687856</v>
      </c>
      <c r="JJ61" s="1392">
        <f t="shared" ca="1" si="139"/>
        <v>665.14163304436181</v>
      </c>
      <c r="JK61" s="1392">
        <f t="shared" ca="1" si="140"/>
        <v>28282.541920334977</v>
      </c>
      <c r="JL61" s="1392">
        <f t="shared" ca="1" si="141"/>
        <v>344551.8961378237</v>
      </c>
      <c r="JM61" s="1392">
        <f t="shared" ca="1" si="142"/>
        <v>65659969.13733051</v>
      </c>
      <c r="JN61" s="1392">
        <f t="shared" ca="1" si="143"/>
        <v>7.3890560989306504</v>
      </c>
      <c r="JO61" s="1392">
        <f t="shared" ca="1" si="144"/>
        <v>18811896.119537231</v>
      </c>
      <c r="JP61" s="1392">
        <f t="shared" ca="1" si="145"/>
        <v>442413.39200892049</v>
      </c>
      <c r="JQ61" s="1392">
        <f t="shared" ca="1" si="146"/>
        <v>17154.228809290984</v>
      </c>
      <c r="JR61" s="1392">
        <f t="shared" ca="1" si="147"/>
        <v>90.017131300521811</v>
      </c>
      <c r="JS61" s="1392">
        <f t="shared" ca="1" si="148"/>
        <v>377847034.10413581</v>
      </c>
      <c r="JT61" s="1392">
        <f t="shared" ca="1" si="149"/>
        <v>46630.028453524326</v>
      </c>
      <c r="JU61" s="1392">
        <f t="shared" ca="1" si="150"/>
        <v>18811896.119537231</v>
      </c>
      <c r="JV61" s="1392">
        <f t="shared" ca="1" si="151"/>
        <v>344551.8961378237</v>
      </c>
      <c r="JW61" s="1392">
        <f t="shared" ca="1" si="152"/>
        <v>403.42879349273511</v>
      </c>
      <c r="JX61" s="1392">
        <f t="shared" ca="1" si="153"/>
        <v>2545913.2895553061</v>
      </c>
      <c r="JY61" s="1392">
        <f t="shared" ca="1" si="154"/>
        <v>18811896.119537231</v>
      </c>
      <c r="JZ61" s="1392">
        <f t="shared" ca="1" si="155"/>
        <v>28282.541920334977</v>
      </c>
      <c r="KA61" s="1392">
        <f t="shared" ca="1" si="156"/>
        <v>344551.8961378237</v>
      </c>
      <c r="KB61" s="1392">
        <f t="shared" ca="1" si="157"/>
        <v>17154.228809290984</v>
      </c>
      <c r="KC61" s="1392">
        <f t="shared" ca="1" si="158"/>
        <v>268337.28652087448</v>
      </c>
      <c r="KD61" s="1392">
        <f t="shared" ca="1" si="159"/>
        <v>1096.6331584284585</v>
      </c>
      <c r="KE61" s="1392">
        <f t="shared" ca="1" si="160"/>
        <v>568070.04002249124</v>
      </c>
      <c r="KF61" s="1392">
        <f t="shared" ca="1" si="161"/>
        <v>8886110.5205078721</v>
      </c>
      <c r="KG61" s="1399">
        <f t="shared" ca="1" si="162"/>
        <v>2321.572414611057</v>
      </c>
      <c r="KH61" s="1406">
        <f t="shared" ca="1" si="163"/>
        <v>3684434215.4834843</v>
      </c>
      <c r="KI61" s="377"/>
      <c r="KJ61" s="1444">
        <f t="shared" ca="1" si="164"/>
        <v>88.109531254469772</v>
      </c>
      <c r="KK61" s="49">
        <f t="shared" ca="1" si="165"/>
        <v>-2011.4013489227177</v>
      </c>
      <c r="KL61" s="377"/>
      <c r="KM61" s="908">
        <f t="shared" ca="1" si="166"/>
        <v>1.4818598145598774E-8</v>
      </c>
      <c r="KN61" s="1411">
        <f t="shared" ca="1" si="167"/>
        <v>1.3339276949620341E-6</v>
      </c>
      <c r="KO61" s="1411">
        <f t="shared" ca="1" si="168"/>
        <v>3.6259914136935575E-6</v>
      </c>
      <c r="KP61" s="1411">
        <f t="shared" ca="1" si="169"/>
        <v>5.9782491711325966E-6</v>
      </c>
      <c r="KQ61" s="1411">
        <f t="shared" ca="1" si="170"/>
        <v>4.0281126062418059E-8</v>
      </c>
      <c r="KR61" s="1411">
        <f t="shared" ca="1" si="171"/>
        <v>2.8239249523947327E-6</v>
      </c>
      <c r="KS61" s="1411">
        <f t="shared" ca="1" si="172"/>
        <v>1.6250566087890084E-5</v>
      </c>
      <c r="KT61" s="1411">
        <f t="shared" ca="1" si="173"/>
        <v>1.2163846083895846E-9</v>
      </c>
      <c r="KU61" s="1411">
        <f t="shared" ca="1" si="174"/>
        <v>1.7820909615213303E-2</v>
      </c>
      <c r="KV61" s="1411">
        <f t="shared" ca="1" si="175"/>
        <v>8.0906804483427497E-7</v>
      </c>
      <c r="KW61" s="1411">
        <f t="shared" ca="1" si="176"/>
        <v>1.387893836337285E-2</v>
      </c>
      <c r="KX61" s="1411">
        <f t="shared" ca="1" si="177"/>
        <v>4.8442254773645395E-2</v>
      </c>
      <c r="KY61" s="1411">
        <f t="shared" ca="1" si="178"/>
        <v>8.0906804483427497E-7</v>
      </c>
      <c r="KZ61" s="1411">
        <f t="shared" ca="1" si="179"/>
        <v>2.6792653970022551E-5</v>
      </c>
      <c r="LA61" s="1411">
        <f t="shared" ca="1" si="180"/>
        <v>2.5750862361681527E-9</v>
      </c>
      <c r="LB61" s="1411">
        <f t="shared" ca="1" si="181"/>
        <v>1.6250566087890084E-5</v>
      </c>
      <c r="LC61" s="1411">
        <f t="shared" ca="1" si="182"/>
        <v>3.0968097397095708E-3</v>
      </c>
      <c r="LD61" s="1411">
        <f t="shared" ca="1" si="183"/>
        <v>8.0906804483427497E-7</v>
      </c>
      <c r="LE61" s="1411">
        <f t="shared" ca="1" si="184"/>
        <v>1.1392526364586365E-3</v>
      </c>
      <c r="LF61" s="1411">
        <f t="shared" ca="1" si="185"/>
        <v>2.8239249523947327E-6</v>
      </c>
      <c r="LG61" s="1411">
        <f t="shared" ca="1" si="186"/>
        <v>2.3180187583131511E-7</v>
      </c>
      <c r="LH61" s="1411">
        <f t="shared" ca="1" si="187"/>
        <v>1.7820909615213303E-2</v>
      </c>
      <c r="LI61" s="1411">
        <f t="shared" ca="1" si="188"/>
        <v>7.28299844229034E-5</v>
      </c>
      <c r="LJ61" s="1411">
        <f t="shared" ca="1" si="189"/>
        <v>8.4180016416475108E-3</v>
      </c>
      <c r="LK61" s="1411">
        <f t="shared" ca="1" si="190"/>
        <v>4.0281126062418059E-8</v>
      </c>
      <c r="LL61" s="1411">
        <f t="shared" ca="1" si="191"/>
        <v>8.5275144543316268E-8</v>
      </c>
      <c r="LM61" s="1411">
        <f t="shared" ca="1" si="192"/>
        <v>7.6762238830266763E-6</v>
      </c>
      <c r="LN61" s="1411">
        <f t="shared" ca="1" si="193"/>
        <v>1.5618687536399919E-9</v>
      </c>
      <c r="LO61" s="1411">
        <f t="shared" ca="1" si="194"/>
        <v>1.4628293412414087E-3</v>
      </c>
      <c r="LP61" s="1411">
        <f t="shared" ca="1" si="195"/>
        <v>6.9099165317061369E-4</v>
      </c>
      <c r="LQ61" s="1411">
        <f t="shared" ca="1" si="196"/>
        <v>1.5418107823318732E-4</v>
      </c>
      <c r="LR61" s="1411">
        <f t="shared" ca="1" si="197"/>
        <v>1.387893836337285E-2</v>
      </c>
      <c r="LS61" s="1411">
        <f t="shared" ca="1" si="198"/>
        <v>4.8442254773645395E-2</v>
      </c>
      <c r="LT61" s="1411">
        <f t="shared" ca="1" si="199"/>
        <v>2.3180187583131511E-7</v>
      </c>
      <c r="LU61" s="1411">
        <f t="shared" ca="1" si="200"/>
        <v>6.5559462704114536E-3</v>
      </c>
      <c r="LV61" s="1411">
        <f t="shared" ca="1" si="201"/>
        <v>1.2163846083895846E-9</v>
      </c>
      <c r="LW61" s="1411">
        <f t="shared" ca="1" si="202"/>
        <v>6.6412349346861945E-8</v>
      </c>
      <c r="LX61" s="1411">
        <f t="shared" ca="1" si="203"/>
        <v>9.8564665699917212E-6</v>
      </c>
      <c r="LY61" s="1411">
        <f t="shared" ca="1" si="204"/>
        <v>8.5275144543316268E-8</v>
      </c>
      <c r="LZ61" s="1411">
        <f t="shared" ca="1" si="205"/>
        <v>0.10255225416056273</v>
      </c>
      <c r="MA61" s="1411">
        <f t="shared" ca="1" si="206"/>
        <v>3.2640134518101765E-4</v>
      </c>
      <c r="MB61" s="1411">
        <f t="shared" ca="1" si="207"/>
        <v>3.2640134518101765E-4</v>
      </c>
      <c r="MC61" s="1411">
        <f t="shared" ca="1" si="208"/>
        <v>0.13167970088078373</v>
      </c>
      <c r="MD61" s="1411">
        <f t="shared" ca="1" si="209"/>
        <v>8.9879341092664309E-9</v>
      </c>
      <c r="ME61" s="1411">
        <f t="shared" ca="1" si="210"/>
        <v>1.7820909615213303E-2</v>
      </c>
      <c r="MF61" s="1411">
        <f t="shared" ca="1" si="211"/>
        <v>6.9099165317061369E-4</v>
      </c>
      <c r="MG61" s="1411">
        <f t="shared" ca="1" si="212"/>
        <v>9.8564665699917212E-6</v>
      </c>
      <c r="MH61" s="1411">
        <f t="shared" ca="1" si="213"/>
        <v>1.8783100544305545E-3</v>
      </c>
      <c r="MI61" s="1411">
        <f t="shared" ca="1" si="214"/>
        <v>2.6792653970022551E-5</v>
      </c>
      <c r="MJ61" s="1411">
        <f t="shared" ca="1" si="215"/>
        <v>1.0388639333970662E-6</v>
      </c>
      <c r="MK61" s="1411">
        <f t="shared" ca="1" si="216"/>
        <v>4.1910762325349552E-4</v>
      </c>
      <c r="ML61" s="1411">
        <f t="shared" ca="1" si="217"/>
        <v>7.9867775845983993E-2</v>
      </c>
      <c r="MM61" s="1411">
        <f t="shared" ca="1" si="218"/>
        <v>4.9072457498574329E-7</v>
      </c>
      <c r="MN61" s="1411">
        <f t="shared" ca="1" si="219"/>
        <v>3.0968097397095708E-3</v>
      </c>
      <c r="MO61" s="1411">
        <f t="shared" ca="1" si="220"/>
        <v>5.6720048899635384E-5</v>
      </c>
      <c r="MP61" s="1411">
        <f t="shared" ca="1" si="221"/>
        <v>6.9099165317061369E-4</v>
      </c>
      <c r="MQ61" s="1411">
        <f t="shared" ca="1" si="222"/>
        <v>7.28299844229034E-5</v>
      </c>
      <c r="MR61" s="1411">
        <f t="shared" ca="1" si="223"/>
        <v>2.0866139892414747E-5</v>
      </c>
      <c r="MS61" s="1411">
        <f t="shared" ca="1" si="224"/>
        <v>1.1392526364586365E-3</v>
      </c>
      <c r="MT61" s="1411">
        <f t="shared" ca="1" si="225"/>
        <v>2.288250089442884E-2</v>
      </c>
      <c r="MU61" s="1411">
        <f t="shared" ca="1" si="226"/>
        <v>5.6720048899635384E-5</v>
      </c>
      <c r="MV61" s="1411">
        <f t="shared" ca="1" si="227"/>
        <v>4.6558651358740423E-6</v>
      </c>
      <c r="MW61" s="1411">
        <f t="shared" ca="1" si="228"/>
        <v>2.1992749642598977E-6</v>
      </c>
      <c r="MX61" s="1411">
        <f t="shared" ca="1" si="229"/>
        <v>6.6412349346861945E-8</v>
      </c>
      <c r="MY61" s="1411">
        <f t="shared" ca="1" si="230"/>
        <v>1.8052748241484877E-7</v>
      </c>
      <c r="MZ61" s="1411">
        <f t="shared" ca="1" si="231"/>
        <v>4.6558651358740423E-6</v>
      </c>
      <c r="NA61" s="1411">
        <f t="shared" ca="1" si="232"/>
        <v>2.5420162322253647E-4</v>
      </c>
      <c r="NB61" s="1411">
        <f t="shared" ca="1" si="233"/>
        <v>6.3010282687498386E-7</v>
      </c>
      <c r="NC61" s="1411">
        <f t="shared" ca="1" si="234"/>
        <v>5.9782491711325966E-6</v>
      </c>
      <c r="ND61" s="1411">
        <f t="shared" ca="1" si="235"/>
        <v>1.1392526364586365E-3</v>
      </c>
      <c r="NE61" s="1411">
        <f t="shared" ca="1" si="236"/>
        <v>2.938171274582661E-2</v>
      </c>
      <c r="NF61" s="1411">
        <f t="shared" ca="1" si="237"/>
        <v>3.8217668327127917E-7</v>
      </c>
      <c r="NG61" s="1411">
        <f t="shared" ca="1" si="238"/>
        <v>5.9782491711325966E-6</v>
      </c>
      <c r="NH61" s="1411">
        <f t="shared" ca="1" si="239"/>
        <v>1.0808928065594539E-2</v>
      </c>
      <c r="NI61" s="1411">
        <f t="shared" ca="1" si="240"/>
        <v>4.4173618498884411E-5</v>
      </c>
      <c r="NJ61" s="1411">
        <f t="shared" ca="1" si="241"/>
        <v>2.5420162322253647E-4</v>
      </c>
      <c r="NK61" s="1411">
        <f t="shared" ca="1" si="242"/>
        <v>1.5418107823318732E-4</v>
      </c>
      <c r="NL61" s="1411">
        <f t="shared" ca="1" si="243"/>
        <v>3.6259914136935575E-6</v>
      </c>
      <c r="NM61" s="1411">
        <f t="shared" ca="1" si="244"/>
        <v>2.1992749642598977E-6</v>
      </c>
      <c r="NN61" s="1411">
        <f t="shared" ca="1" si="245"/>
        <v>2.6792653970022551E-5</v>
      </c>
      <c r="NO61" s="1411">
        <f t="shared" ca="1" si="246"/>
        <v>3.0968097397095708E-3</v>
      </c>
      <c r="NP61" s="1411">
        <f t="shared" ca="1" si="247"/>
        <v>9.8564665699917212E-6</v>
      </c>
      <c r="NQ61" s="1411">
        <f t="shared" ca="1" si="248"/>
        <v>8.0906804483427497E-7</v>
      </c>
      <c r="NR61" s="1411">
        <f t="shared" ca="1" si="249"/>
        <v>1.0808928065594539E-2</v>
      </c>
      <c r="NS61" s="1411">
        <f t="shared" ca="1" si="250"/>
        <v>7.6762238830266763E-6</v>
      </c>
      <c r="NT61" s="1411">
        <f t="shared" ca="1" si="251"/>
        <v>1.5418107823318732E-4</v>
      </c>
      <c r="NU61" s="1411">
        <f t="shared" ca="1" si="252"/>
        <v>1.387893836337285E-2</v>
      </c>
      <c r="NV61" s="1411">
        <f t="shared" ca="1" si="253"/>
        <v>4.2455994514575668E-9</v>
      </c>
      <c r="NW61" s="1411">
        <f t="shared" ca="1" si="254"/>
        <v>3.6259914136935575E-6</v>
      </c>
      <c r="NX61" s="1411">
        <f t="shared" ca="1" si="255"/>
        <v>2.9763950020330447E-7</v>
      </c>
      <c r="NY61" s="1411">
        <f t="shared" ca="1" si="256"/>
        <v>5.381448405850786E-4</v>
      </c>
      <c r="NZ61" s="1411">
        <f t="shared" ca="1" si="257"/>
        <v>4.4173618498884411E-5</v>
      </c>
      <c r="OA61" s="1411">
        <f t="shared" ca="1" si="258"/>
        <v>5.9782491711325966E-6</v>
      </c>
      <c r="OB61" s="1411">
        <f t="shared" ca="1" si="259"/>
        <v>1.4818598145598774E-8</v>
      </c>
      <c r="OC61" s="1411">
        <f t="shared" ca="1" si="260"/>
        <v>7.28299844229034E-5</v>
      </c>
      <c r="OD61" s="1411">
        <f t="shared" ca="1" si="261"/>
        <v>5.172198967694779E-8</v>
      </c>
      <c r="OE61" s="1411">
        <f t="shared" ca="1" si="262"/>
        <v>3.7726865951459534E-2</v>
      </c>
      <c r="OF61" s="1411">
        <f t="shared" ca="1" si="263"/>
        <v>3.7726865951459534E-2</v>
      </c>
      <c r="OG61" s="1411">
        <f t="shared" ca="1" si="264"/>
        <v>0.13167970088078373</v>
      </c>
      <c r="OH61" s="1411">
        <f t="shared" ca="1" si="265"/>
        <v>2.5750862361681527E-9</v>
      </c>
      <c r="OI61" s="1411">
        <f t="shared" ca="1" si="266"/>
        <v>3.0968097397095708E-3</v>
      </c>
      <c r="OJ61" s="1411">
        <f t="shared" ca="1" si="267"/>
        <v>9.8564665699917212E-6</v>
      </c>
      <c r="OK61" s="1411">
        <f t="shared" ca="1" si="268"/>
        <v>3.1370972520409156E-8</v>
      </c>
      <c r="OL61" s="1411">
        <f t="shared" ca="1" si="269"/>
        <v>5.4514576047470487E-9</v>
      </c>
      <c r="OM61" s="1411">
        <f t="shared" ca="1" si="270"/>
        <v>2.4117978503089667E-3</v>
      </c>
      <c r="ON61" s="1411">
        <f t="shared" ca="1" si="271"/>
        <v>4.4173618498884411E-5</v>
      </c>
      <c r="OO61" s="1411">
        <f t="shared" ca="1" si="272"/>
        <v>9.8564665699917212E-6</v>
      </c>
      <c r="OP61" s="1411">
        <f t="shared" ca="1" si="273"/>
        <v>1.5418107823318732E-4</v>
      </c>
      <c r="OQ61" s="1411">
        <f t="shared" ca="1" si="274"/>
        <v>5.6720048899635384E-5</v>
      </c>
      <c r="OR61" s="1411">
        <f t="shared" ca="1" si="275"/>
        <v>2.3180187583131511E-7</v>
      </c>
      <c r="OS61" s="1411">
        <f t="shared" ca="1" si="276"/>
        <v>2.8239249523947327E-6</v>
      </c>
      <c r="OT61" s="1411">
        <f t="shared" ca="1" si="277"/>
        <v>1.0949545300533905E-7</v>
      </c>
      <c r="OU61" s="1411">
        <f t="shared" ca="1" si="278"/>
        <v>7.28299844229034E-5</v>
      </c>
      <c r="OV61" s="1411">
        <f t="shared" ca="1" si="279"/>
        <v>5.1057760891704967E-3</v>
      </c>
      <c r="OW61" s="1411">
        <f t="shared" ca="1" si="280"/>
        <v>2.288250089442884E-2</v>
      </c>
      <c r="OX61" s="1411">
        <f t="shared" ca="1" si="281"/>
        <v>3.6259914136935575E-6</v>
      </c>
      <c r="OY61" s="1411">
        <f t="shared" ca="1" si="282"/>
        <v>3.0968097397095708E-3</v>
      </c>
      <c r="OZ61" s="1411">
        <f t="shared" ca="1" si="283"/>
        <v>1.5418107823318732E-4</v>
      </c>
      <c r="PA61" s="1411">
        <f t="shared" ca="1" si="284"/>
        <v>6.9998101224908867E-9</v>
      </c>
      <c r="PB61" s="1411">
        <f t="shared" ca="1" si="285"/>
        <v>1.902745665863066E-8</v>
      </c>
      <c r="PC61" s="1411">
        <f t="shared" ca="1" si="286"/>
        <v>1.8052748241484877E-7</v>
      </c>
      <c r="PD61" s="1411">
        <f t="shared" ca="1" si="287"/>
        <v>7.6762238830266763E-6</v>
      </c>
      <c r="PE61" s="1411">
        <f t="shared" ca="1" si="288"/>
        <v>9.3515551095980253E-5</v>
      </c>
      <c r="PF61" s="1411">
        <f t="shared" ca="1" si="289"/>
        <v>1.7820909615213303E-2</v>
      </c>
      <c r="PG61" s="1411">
        <f t="shared" ca="1" si="290"/>
        <v>2.005479177204154E-9</v>
      </c>
      <c r="PH61" s="1411">
        <f t="shared" ca="1" si="291"/>
        <v>5.1057760891704967E-3</v>
      </c>
      <c r="PI61" s="1411">
        <f t="shared" ca="1" si="292"/>
        <v>1.2007634446279983E-4</v>
      </c>
      <c r="PJ61" s="1411">
        <f t="shared" ca="1" si="293"/>
        <v>4.6558651358740423E-6</v>
      </c>
      <c r="PK61" s="1411">
        <f t="shared" ca="1" si="294"/>
        <v>2.4431737964606175E-8</v>
      </c>
      <c r="PL61" s="1411">
        <f t="shared" ca="1" si="295"/>
        <v>0.10255225416056273</v>
      </c>
      <c r="PM61" s="1411">
        <f t="shared" ca="1" si="296"/>
        <v>1.2655953594602413E-5</v>
      </c>
      <c r="PN61" s="1411">
        <f t="shared" ca="1" si="297"/>
        <v>5.1057760891704967E-3</v>
      </c>
      <c r="PO61" s="1411">
        <f t="shared" ca="1" si="298"/>
        <v>9.3515551095980253E-5</v>
      </c>
      <c r="PP61" s="1411">
        <f t="shared" ca="1" si="299"/>
        <v>1.0949545300533905E-7</v>
      </c>
      <c r="PQ61" s="1411">
        <f t="shared" ca="1" si="300"/>
        <v>6.9099165317061369E-4</v>
      </c>
      <c r="PR61" s="1411">
        <f t="shared" ca="1" si="301"/>
        <v>5.1057760891704967E-3</v>
      </c>
      <c r="PS61" s="1411">
        <f t="shared" ca="1" si="302"/>
        <v>7.6762238830266763E-6</v>
      </c>
      <c r="PT61" s="1411">
        <f t="shared" ca="1" si="303"/>
        <v>9.3515551095980253E-5</v>
      </c>
      <c r="PU61" s="1411">
        <f t="shared" ca="1" si="304"/>
        <v>4.6558651358740423E-6</v>
      </c>
      <c r="PV61" s="1411">
        <f t="shared" ca="1" si="305"/>
        <v>7.28299844229034E-5</v>
      </c>
      <c r="PW61" s="1411">
        <f t="shared" ca="1" si="306"/>
        <v>2.9763950020330447E-7</v>
      </c>
      <c r="PX61" s="1411">
        <f t="shared" ca="1" si="307"/>
        <v>1.5418107823318732E-4</v>
      </c>
      <c r="PY61" s="1411">
        <f t="shared" ca="1" si="308"/>
        <v>2.4117978503089667E-3</v>
      </c>
      <c r="PZ61" s="1412">
        <f t="shared" ca="1" si="309"/>
        <v>6.3010282687498386E-7</v>
      </c>
      <c r="QB61" s="33" t="s">
        <v>1072</v>
      </c>
      <c r="QC61" s="1432">
        <f t="shared" ca="1" si="336"/>
        <v>0.43725652457466796</v>
      </c>
      <c r="QD61" s="744">
        <f t="shared" ca="1" si="337"/>
        <v>0.17904821300711041</v>
      </c>
      <c r="QE61" s="1068">
        <f t="shared" ca="1" si="338"/>
        <v>0.38369526241822216</v>
      </c>
      <c r="QF61" s="744">
        <f t="shared" ca="1" si="339"/>
        <v>0.40147568674123246</v>
      </c>
      <c r="QG61" s="744">
        <f t="shared" ca="1" si="340"/>
        <v>0.14330202869880956</v>
      </c>
      <c r="QH61" s="1068">
        <f t="shared" ca="1" si="341"/>
        <v>0.45522228455995839</v>
      </c>
      <c r="QI61" s="744">
        <f t="shared" ca="1" si="342"/>
        <v>0.68616334971210835</v>
      </c>
      <c r="QJ61" s="1068">
        <f t="shared" ca="1" si="343"/>
        <v>0.31383665028789204</v>
      </c>
      <c r="QK61" s="744">
        <f t="shared" ca="1" si="344"/>
        <v>0.76562791739626879</v>
      </c>
      <c r="QL61" s="1068">
        <f t="shared" ca="1" si="345"/>
        <v>0.23437208260373152</v>
      </c>
      <c r="QM61" s="744">
        <f t="shared" ca="1" si="346"/>
        <v>0.32474290573453096</v>
      </c>
      <c r="QN61" s="1068">
        <f t="shared" ca="1" si="347"/>
        <v>0.67525709426546965</v>
      </c>
      <c r="QO61" s="744">
        <f t="shared" ca="1" si="348"/>
        <v>0.49618933767678464</v>
      </c>
      <c r="QP61" s="1068">
        <f t="shared" ca="1" si="349"/>
        <v>0.5038106623232157</v>
      </c>
      <c r="QR61" s="1432">
        <f t="shared" ca="1" si="350"/>
        <v>8.0216835658894273E-2</v>
      </c>
      <c r="QS61" s="744">
        <f t="shared" ca="1" si="351"/>
        <v>4.6746412190365433E-2</v>
      </c>
      <c r="QT61" s="744">
        <f t="shared" ca="1" si="352"/>
        <v>0.3102932767254083</v>
      </c>
      <c r="QU61" s="743">
        <f t="shared" ca="1" si="353"/>
        <v>0.10833881841004761</v>
      </c>
      <c r="QV61" s="744">
        <f t="shared" ca="1" si="354"/>
        <v>4.2087074481875611E-2</v>
      </c>
      <c r="QW61" s="744">
        <f t="shared" ca="1" si="355"/>
        <v>2.8622320115187172E-2</v>
      </c>
      <c r="QX61" s="743">
        <f t="shared" ca="1" si="356"/>
        <v>0.21292003267229059</v>
      </c>
      <c r="QY61" s="744">
        <f t="shared" ca="1" si="357"/>
        <v>5.4468542026568555E-2</v>
      </c>
      <c r="QZ61" s="745">
        <f t="shared" ca="1" si="358"/>
        <v>0.11630668771936289</v>
      </c>
      <c r="RC61" s="744">
        <f t="shared" ca="1" si="359"/>
        <v>8.0186766683465388E-2</v>
      </c>
      <c r="RD61" s="744">
        <f t="shared" ca="1" si="360"/>
        <v>1.6194743778040446E-2</v>
      </c>
      <c r="RE61" s="744">
        <f t="shared" ca="1" si="361"/>
        <v>0.15273258034846432</v>
      </c>
      <c r="RF61" s="744">
        <f t="shared" ca="1" si="362"/>
        <v>2.4179091256551911E-2</v>
      </c>
      <c r="RG61" s="744">
        <f t="shared" ca="1" si="363"/>
        <v>1.1300080555068256E-2</v>
      </c>
      <c r="RH61" s="744">
        <f t="shared" ca="1" si="364"/>
        <v>6.6511686417971845E-4</v>
      </c>
      <c r="RI61" s="744">
        <f t="shared" ca="1" si="365"/>
        <v>2.679894284791897E-3</v>
      </c>
      <c r="RJ61" s="744">
        <f t="shared" ca="1" si="366"/>
        <v>2.3152792221923076E-2</v>
      </c>
      <c r="RK61" s="744">
        <f t="shared" ca="1" si="367"/>
        <v>2.7455842954070167E-3</v>
      </c>
      <c r="RL61" s="1251"/>
      <c r="RM61" s="744">
        <f t="shared" ca="1" si="368"/>
        <v>6.2970851739938712E-5</v>
      </c>
      <c r="RN61" s="744">
        <f t="shared" ca="1" si="369"/>
        <v>4.2498913479177614E-2</v>
      </c>
      <c r="RO61" s="744">
        <f t="shared" ca="1" si="370"/>
        <v>0.12296233010401107</v>
      </c>
      <c r="RP61" s="744">
        <f t="shared" ca="1" si="371"/>
        <v>3.908653767703921E-3</v>
      </c>
      <c r="RQ61" s="744">
        <f t="shared" ca="1" si="372"/>
        <v>3.0714124806720814E-2</v>
      </c>
      <c r="RR61" s="744">
        <f t="shared" ca="1" si="373"/>
        <v>1.4119674685270374E-2</v>
      </c>
      <c r="RS61" s="744">
        <f t="shared" ca="1" si="374"/>
        <v>3.1665882998905544E-3</v>
      </c>
      <c r="RT61" s="744">
        <f t="shared" ca="1" si="375"/>
        <v>8.4815271494578879E-3</v>
      </c>
      <c r="RU61" s="744">
        <f t="shared" ca="1" si="376"/>
        <v>8.4572994597593276E-3</v>
      </c>
      <c r="RV61" s="744"/>
      <c r="RW61" s="744">
        <f t="shared" ca="1" si="377"/>
        <v>6.2363302301249687E-2</v>
      </c>
      <c r="RX61" s="744">
        <f t="shared" ca="1" si="378"/>
        <v>2.3673705414839263E-2</v>
      </c>
      <c r="RY61" s="744">
        <f t="shared" ca="1" si="379"/>
        <v>0.24267616331222175</v>
      </c>
      <c r="RZ61" s="744">
        <f t="shared" ca="1" si="380"/>
        <v>0.10505861438950881</v>
      </c>
      <c r="SA61" s="744">
        <f t="shared" ca="1" si="381"/>
        <v>2.9964293819214997E-2</v>
      </c>
      <c r="SB61" s="744">
        <f t="shared" ca="1" si="382"/>
        <v>2.534387990810822E-2</v>
      </c>
      <c r="SC61" s="744">
        <f t="shared" ca="1" si="383"/>
        <v>0.13184671124350866</v>
      </c>
      <c r="SD61" s="744">
        <f t="shared" ca="1" si="384"/>
        <v>4.0925310289017275E-2</v>
      </c>
      <c r="SE61" s="744">
        <f t="shared" ca="1" si="385"/>
        <v>1.340511358780083E-2</v>
      </c>
      <c r="SF61" s="744"/>
      <c r="SG61" s="744">
        <f t="shared" ca="1" si="386"/>
        <v>4.8496244379951238E-2</v>
      </c>
      <c r="SH61" s="744">
        <f t="shared" ca="1" si="387"/>
        <v>4.0812561103414802E-2</v>
      </c>
      <c r="SI61" s="744">
        <f t="shared" ca="1" si="388"/>
        <v>0.10545805568610944</v>
      </c>
      <c r="SJ61" s="744">
        <f t="shared" ca="1" si="389"/>
        <v>0.10656470541460404</v>
      </c>
      <c r="SK61" s="744">
        <f t="shared" ca="1" si="390"/>
        <v>1.2238469115305451E-2</v>
      </c>
      <c r="SL61" s="744">
        <f t="shared" ca="1" si="391"/>
        <v>1.1017507654584079E-2</v>
      </c>
      <c r="SM61" s="744">
        <f t="shared" ca="1" si="392"/>
        <v>3.7935426438634276E-2</v>
      </c>
      <c r="SN61" s="744">
        <f t="shared" ca="1" si="393"/>
        <v>2.8202619979676737E-2</v>
      </c>
      <c r="SO61" s="744">
        <f t="shared" ca="1" si="394"/>
        <v>0.11308507255093567</v>
      </c>
      <c r="SP61" s="100"/>
      <c r="SQ61" s="114"/>
      <c r="SR61" s="806">
        <f t="shared" ca="1" si="431"/>
        <v>0.99962515380740335</v>
      </c>
      <c r="SS61" s="806">
        <f t="shared" ca="1" si="432"/>
        <v>0.34643821887529214</v>
      </c>
      <c r="ST61" s="806">
        <f t="shared" ca="1" si="433"/>
        <v>0.49222007631065712</v>
      </c>
      <c r="SU61" s="806">
        <f t="shared" ca="1" si="434"/>
        <v>0.22318031165004365</v>
      </c>
      <c r="SV61" s="806">
        <f t="shared" ca="1" si="435"/>
        <v>0.26849289702791118</v>
      </c>
      <c r="SW61" s="806">
        <f t="shared" ca="1" si="436"/>
        <v>2.3237699162857294E-2</v>
      </c>
      <c r="SX61" s="806">
        <f t="shared" ca="1" si="437"/>
        <v>1.2586388660368915E-2</v>
      </c>
      <c r="SY61" s="806">
        <f t="shared" ca="1" si="438"/>
        <v>0.42506722890856258</v>
      </c>
      <c r="SZ61" s="806">
        <f t="shared" ca="1" si="439"/>
        <v>2.3606418076592927E-2</v>
      </c>
      <c r="TA61" s="806"/>
      <c r="TB61" s="806">
        <f t="shared" ca="1" si="440"/>
        <v>7.8500792536506192E-4</v>
      </c>
      <c r="TC61" s="806">
        <f t="shared" ca="1" si="441"/>
        <v>0.90913743938485103</v>
      </c>
      <c r="TD61" s="806">
        <f t="shared" ca="1" si="442"/>
        <v>0.39627777759692057</v>
      </c>
      <c r="TE61" s="806">
        <f t="shared" ca="1" si="443"/>
        <v>3.6078054247464665E-2</v>
      </c>
      <c r="TF61" s="806">
        <f t="shared" ca="1" si="444"/>
        <v>0.72977571344255709</v>
      </c>
      <c r="TG61" s="806">
        <f t="shared" ca="1" si="445"/>
        <v>0.49330992835127963</v>
      </c>
      <c r="TH61" s="806">
        <f t="shared" ca="1" si="446"/>
        <v>1.4872195256349188E-2</v>
      </c>
      <c r="TI61" s="806">
        <f t="shared" ca="1" si="447"/>
        <v>0.15571423125885739</v>
      </c>
      <c r="TJ61" s="806">
        <f t="shared" ca="1" si="448"/>
        <v>7.2715504375517909E-2</v>
      </c>
      <c r="TK61" s="806"/>
      <c r="TL61" s="806">
        <f t="shared" ca="1" si="449"/>
        <v>0.77743408586243545</v>
      </c>
      <c r="TM61" s="806">
        <f t="shared" ca="1" si="450"/>
        <v>0.50642828627003122</v>
      </c>
      <c r="TN61" s="806">
        <f t="shared" ca="1" si="451"/>
        <v>0.78208643729969118</v>
      </c>
      <c r="TO61" s="806">
        <f t="shared" ca="1" si="452"/>
        <v>0.96972272663964565</v>
      </c>
      <c r="TP61" s="806">
        <f t="shared" ca="1" si="453"/>
        <v>0.71195953123610023</v>
      </c>
      <c r="TQ61" s="806">
        <f t="shared" ca="1" si="454"/>
        <v>0.88545861433017126</v>
      </c>
      <c r="TR61" s="806">
        <f t="shared" ca="1" si="455"/>
        <v>0.61923112442142314</v>
      </c>
      <c r="TS61" s="806">
        <f t="shared" ca="1" si="456"/>
        <v>0.75135681562863954</v>
      </c>
      <c r="TT61" s="806">
        <f t="shared" ca="1" si="457"/>
        <v>0.11525660175402905</v>
      </c>
      <c r="TU61" s="806"/>
      <c r="TV61" s="806">
        <f t="shared" ca="1" si="458"/>
        <v>0.60456441570659336</v>
      </c>
      <c r="TW61" s="806">
        <f t="shared" ca="1" si="459"/>
        <v>0.87306296229139024</v>
      </c>
      <c r="TX61" s="806">
        <f t="shared" ca="1" si="460"/>
        <v>0.33986574507521078</v>
      </c>
      <c r="TY61" s="806">
        <f t="shared" ca="1" si="461"/>
        <v>0.9836244014704979</v>
      </c>
      <c r="TZ61" s="806">
        <f t="shared" ca="1" si="462"/>
        <v>0.29078925693863156</v>
      </c>
      <c r="UA61" s="806">
        <f t="shared" ca="1" si="463"/>
        <v>0.38492713414724633</v>
      </c>
      <c r="UB61" s="806">
        <f t="shared" ca="1" si="464"/>
        <v>0.17816748364406573</v>
      </c>
      <c r="UC61" s="806">
        <f t="shared" ca="1" si="465"/>
        <v>0.51777813266821282</v>
      </c>
      <c r="UD61" s="1439">
        <f t="shared" ca="1" si="466"/>
        <v>0.97230068853649509</v>
      </c>
    </row>
    <row r="62" spans="3:551" s="7" customFormat="1" x14ac:dyDescent="0.25">
      <c r="C62" s="21"/>
      <c r="D62" s="1308">
        <v>44037</v>
      </c>
      <c r="E62" s="233">
        <f t="shared" ca="1" si="321"/>
        <v>38</v>
      </c>
      <c r="F62" s="1392">
        <f t="shared" ca="1" si="321"/>
        <v>16</v>
      </c>
      <c r="G62" s="1392">
        <f t="shared" ca="1" si="321"/>
        <v>71</v>
      </c>
      <c r="H62" s="1392">
        <f t="shared" ca="1" si="321"/>
        <v>47</v>
      </c>
      <c r="I62" s="1392">
        <f t="shared" ca="1" si="321"/>
        <v>75</v>
      </c>
      <c r="J62" s="1392">
        <f t="shared" ca="1" si="321"/>
        <v>43</v>
      </c>
      <c r="K62" s="1392">
        <f t="shared" ca="1" si="321"/>
        <v>59</v>
      </c>
      <c r="L62" s="1392">
        <f t="shared" ca="1" si="321"/>
        <v>75</v>
      </c>
      <c r="M62" s="1392">
        <f t="shared" ca="1" si="321"/>
        <v>30</v>
      </c>
      <c r="N62" s="1392">
        <f t="shared" ca="1" si="321"/>
        <v>43</v>
      </c>
      <c r="O62" s="1392">
        <f t="shared" ca="1" si="322"/>
        <v>33</v>
      </c>
      <c r="P62" s="1392">
        <f t="shared" ca="1" si="322"/>
        <v>73</v>
      </c>
      <c r="Q62" s="1392">
        <f t="shared" ca="1" si="322"/>
        <v>52</v>
      </c>
      <c r="R62" s="1392">
        <f t="shared" ca="1" si="322"/>
        <v>34</v>
      </c>
      <c r="S62" s="1392">
        <f t="shared" ca="1" si="322"/>
        <v>28</v>
      </c>
      <c r="T62" s="1392">
        <f t="shared" ca="1" si="322"/>
        <v>12</v>
      </c>
      <c r="U62" s="1392">
        <f t="shared" ca="1" si="322"/>
        <v>63</v>
      </c>
      <c r="V62" s="1392">
        <f t="shared" ca="1" si="322"/>
        <v>64</v>
      </c>
      <c r="W62" s="1392">
        <f t="shared" ca="1" si="322"/>
        <v>68</v>
      </c>
      <c r="X62" s="1392">
        <f t="shared" ca="1" si="322"/>
        <v>43</v>
      </c>
      <c r="Y62" s="1392">
        <f t="shared" ca="1" si="323"/>
        <v>25</v>
      </c>
      <c r="Z62" s="1392">
        <f t="shared" ca="1" si="323"/>
        <v>29</v>
      </c>
      <c r="AA62" s="1392">
        <f t="shared" ca="1" si="323"/>
        <v>38</v>
      </c>
      <c r="AB62" s="1392">
        <f t="shared" ca="1" si="323"/>
        <v>73</v>
      </c>
      <c r="AC62" s="1392">
        <f t="shared" ca="1" si="323"/>
        <v>17</v>
      </c>
      <c r="AD62" s="1392">
        <f t="shared" ca="1" si="323"/>
        <v>7</v>
      </c>
      <c r="AE62" s="1392">
        <f t="shared" ca="1" si="323"/>
        <v>60</v>
      </c>
      <c r="AF62" s="1392">
        <f t="shared" ca="1" si="323"/>
        <v>65</v>
      </c>
      <c r="AG62" s="1392">
        <f t="shared" ca="1" si="323"/>
        <v>49</v>
      </c>
      <c r="AH62" s="1392">
        <f t="shared" ca="1" si="323"/>
        <v>25</v>
      </c>
      <c r="AI62" s="1392">
        <f t="shared" ca="1" si="324"/>
        <v>5</v>
      </c>
      <c r="AJ62" s="1392">
        <f t="shared" ca="1" si="324"/>
        <v>76</v>
      </c>
      <c r="AK62" s="1392">
        <f t="shared" ca="1" si="324"/>
        <v>34</v>
      </c>
      <c r="AL62" s="1392">
        <f t="shared" ca="1" si="324"/>
        <v>27</v>
      </c>
      <c r="AM62" s="1392">
        <f t="shared" ca="1" si="324"/>
        <v>46</v>
      </c>
      <c r="AN62" s="1392">
        <f t="shared" ca="1" si="324"/>
        <v>29</v>
      </c>
      <c r="AO62" s="1392">
        <f t="shared" ca="1" si="324"/>
        <v>9</v>
      </c>
      <c r="AP62" s="1392">
        <f t="shared" ca="1" si="324"/>
        <v>13</v>
      </c>
      <c r="AQ62" s="1392">
        <f t="shared" ca="1" si="324"/>
        <v>24</v>
      </c>
      <c r="AR62" s="1392">
        <f t="shared" ca="1" si="324"/>
        <v>54</v>
      </c>
      <c r="AS62" s="1392">
        <f t="shared" ca="1" si="325"/>
        <v>76</v>
      </c>
      <c r="AT62" s="1392">
        <f t="shared" ca="1" si="325"/>
        <v>14</v>
      </c>
      <c r="AU62" s="1392">
        <f t="shared" ca="1" si="325"/>
        <v>35</v>
      </c>
      <c r="AV62" s="1392">
        <f t="shared" ca="1" si="325"/>
        <v>55</v>
      </c>
      <c r="AW62" s="1392">
        <f t="shared" ca="1" si="325"/>
        <v>7</v>
      </c>
      <c r="AX62" s="1392">
        <f t="shared" ca="1" si="325"/>
        <v>22</v>
      </c>
      <c r="AY62" s="1392">
        <f t="shared" ca="1" si="325"/>
        <v>30</v>
      </c>
      <c r="AZ62" s="1392">
        <f t="shared" ca="1" si="325"/>
        <v>54</v>
      </c>
      <c r="BA62" s="1392">
        <f t="shared" ca="1" si="325"/>
        <v>64</v>
      </c>
      <c r="BB62" s="1392">
        <f t="shared" ca="1" si="325"/>
        <v>60</v>
      </c>
      <c r="BC62" s="1392">
        <f t="shared" ca="1" si="326"/>
        <v>37</v>
      </c>
      <c r="BD62" s="1392">
        <f t="shared" ca="1" si="326"/>
        <v>26</v>
      </c>
      <c r="BE62" s="1392">
        <f t="shared" ca="1" si="326"/>
        <v>64</v>
      </c>
      <c r="BF62" s="1392">
        <f t="shared" ca="1" si="326"/>
        <v>53</v>
      </c>
      <c r="BG62" s="1392">
        <f t="shared" ca="1" si="326"/>
        <v>34</v>
      </c>
      <c r="BH62" s="1392">
        <f t="shared" ca="1" si="326"/>
        <v>58</v>
      </c>
      <c r="BI62" s="1392">
        <f t="shared" ca="1" si="326"/>
        <v>62</v>
      </c>
      <c r="BJ62" s="1392">
        <f t="shared" ca="1" si="326"/>
        <v>47</v>
      </c>
      <c r="BK62" s="1392">
        <f t="shared" ca="1" si="326"/>
        <v>25</v>
      </c>
      <c r="BL62" s="1392">
        <f t="shared" ca="1" si="326"/>
        <v>73</v>
      </c>
      <c r="BM62" s="1392">
        <f t="shared" ca="1" si="327"/>
        <v>35</v>
      </c>
      <c r="BN62" s="1392">
        <f t="shared" ca="1" si="327"/>
        <v>36</v>
      </c>
      <c r="BO62" s="1392">
        <f t="shared" ca="1" si="327"/>
        <v>53</v>
      </c>
      <c r="BP62" s="1392">
        <f t="shared" ca="1" si="327"/>
        <v>55</v>
      </c>
      <c r="BQ62" s="1392">
        <f t="shared" ca="1" si="327"/>
        <v>66</v>
      </c>
      <c r="BR62" s="1392">
        <f t="shared" ca="1" si="327"/>
        <v>41</v>
      </c>
      <c r="BS62" s="1392">
        <f t="shared" ca="1" si="327"/>
        <v>76</v>
      </c>
      <c r="BT62" s="1392">
        <f t="shared" ca="1" si="327"/>
        <v>16</v>
      </c>
      <c r="BU62" s="1392">
        <f t="shared" ca="1" si="327"/>
        <v>72</v>
      </c>
      <c r="BV62" s="1392">
        <f t="shared" ca="1" si="327"/>
        <v>57</v>
      </c>
      <c r="BW62" s="1392">
        <f t="shared" ca="1" si="328"/>
        <v>59</v>
      </c>
      <c r="BX62" s="1392">
        <f t="shared" ca="1" si="328"/>
        <v>69</v>
      </c>
      <c r="BY62" s="1392">
        <f t="shared" ca="1" si="328"/>
        <v>31</v>
      </c>
      <c r="BZ62" s="1392">
        <f t="shared" ca="1" si="328"/>
        <v>8</v>
      </c>
      <c r="CA62" s="1392">
        <f t="shared" ca="1" si="328"/>
        <v>68</v>
      </c>
      <c r="CB62" s="1392">
        <f t="shared" ca="1" si="328"/>
        <v>78</v>
      </c>
      <c r="CC62" s="1392">
        <f t="shared" ca="1" si="328"/>
        <v>22</v>
      </c>
      <c r="CD62" s="1392">
        <f t="shared" ca="1" si="328"/>
        <v>37</v>
      </c>
      <c r="CE62" s="1392">
        <f t="shared" ca="1" si="328"/>
        <v>46</v>
      </c>
      <c r="CF62" s="1392">
        <f t="shared" ca="1" si="328"/>
        <v>17</v>
      </c>
      <c r="CG62" s="1392">
        <f t="shared" ca="1" si="329"/>
        <v>34</v>
      </c>
      <c r="CH62" s="1392">
        <f t="shared" ca="1" si="329"/>
        <v>6</v>
      </c>
      <c r="CI62" s="1392">
        <f t="shared" ca="1" si="329"/>
        <v>76</v>
      </c>
      <c r="CJ62" s="1392">
        <f t="shared" ca="1" si="329"/>
        <v>32</v>
      </c>
      <c r="CK62" s="1392">
        <f t="shared" ca="1" si="329"/>
        <v>19</v>
      </c>
      <c r="CL62" s="1392">
        <f t="shared" ca="1" si="329"/>
        <v>24</v>
      </c>
      <c r="CM62" s="1392">
        <f t="shared" ca="1" si="329"/>
        <v>48</v>
      </c>
      <c r="CN62" s="1392">
        <f t="shared" ca="1" si="329"/>
        <v>27</v>
      </c>
      <c r="CO62" s="1392">
        <f t="shared" ca="1" si="329"/>
        <v>31</v>
      </c>
      <c r="CP62" s="1392">
        <f t="shared" ca="1" si="329"/>
        <v>12</v>
      </c>
      <c r="CQ62" s="1392">
        <f t="shared" ca="1" si="330"/>
        <v>54</v>
      </c>
      <c r="CR62" s="1392">
        <f t="shared" ca="1" si="330"/>
        <v>20</v>
      </c>
      <c r="CS62" s="1392">
        <f t="shared" ca="1" si="330"/>
        <v>23</v>
      </c>
      <c r="CT62" s="1392">
        <f t="shared" ca="1" si="330"/>
        <v>68</v>
      </c>
      <c r="CU62" s="1392">
        <f t="shared" ca="1" si="330"/>
        <v>52</v>
      </c>
      <c r="CV62" s="1392">
        <f t="shared" ca="1" si="330"/>
        <v>36</v>
      </c>
      <c r="CW62" s="1392">
        <f t="shared" ca="1" si="330"/>
        <v>37</v>
      </c>
      <c r="CX62" s="1392">
        <f t="shared" ca="1" si="330"/>
        <v>71</v>
      </c>
      <c r="CY62" s="1392">
        <f t="shared" ca="1" si="330"/>
        <v>45</v>
      </c>
      <c r="CZ62" s="1392">
        <f t="shared" ca="1" si="330"/>
        <v>15</v>
      </c>
      <c r="DA62" s="1392">
        <f t="shared" ca="1" si="331"/>
        <v>66</v>
      </c>
      <c r="DB62" s="1392">
        <f t="shared" ca="1" si="331"/>
        <v>56</v>
      </c>
      <c r="DC62" s="1392">
        <f t="shared" ca="1" si="331"/>
        <v>68</v>
      </c>
      <c r="DD62" s="1392">
        <f t="shared" ca="1" si="331"/>
        <v>29</v>
      </c>
      <c r="DE62" s="1392">
        <f t="shared" ca="1" si="331"/>
        <v>8</v>
      </c>
      <c r="DF62" s="1392">
        <f t="shared" ca="1" si="331"/>
        <v>14</v>
      </c>
      <c r="DG62" s="1392">
        <f t="shared" ca="1" si="331"/>
        <v>42</v>
      </c>
      <c r="DH62" s="1392">
        <f t="shared" ca="1" si="331"/>
        <v>33</v>
      </c>
      <c r="DI62" s="1392">
        <f t="shared" ca="1" si="331"/>
        <v>14</v>
      </c>
      <c r="DJ62" s="1392">
        <f t="shared" ca="1" si="331"/>
        <v>65</v>
      </c>
      <c r="DK62" s="1392">
        <f t="shared" ca="1" si="332"/>
        <v>72</v>
      </c>
      <c r="DL62" s="1392">
        <f t="shared" ca="1" si="332"/>
        <v>56</v>
      </c>
      <c r="DM62" s="1392">
        <f t="shared" ca="1" si="332"/>
        <v>10</v>
      </c>
      <c r="DN62" s="1392">
        <f t="shared" ca="1" si="332"/>
        <v>7</v>
      </c>
      <c r="DO62" s="1392">
        <f t="shared" ca="1" si="332"/>
        <v>27</v>
      </c>
      <c r="DP62" s="1392">
        <f t="shared" ca="1" si="332"/>
        <v>16</v>
      </c>
      <c r="DQ62" s="1392">
        <f t="shared" ca="1" si="332"/>
        <v>49</v>
      </c>
      <c r="DR62" s="1392">
        <f t="shared" ca="1" si="332"/>
        <v>32</v>
      </c>
      <c r="DS62" s="1392">
        <f t="shared" ca="1" si="332"/>
        <v>76</v>
      </c>
      <c r="DT62" s="1392">
        <f t="shared" ca="1" si="332"/>
        <v>15</v>
      </c>
      <c r="DU62" s="1392">
        <f t="shared" ca="1" si="333"/>
        <v>71</v>
      </c>
      <c r="DV62" s="1392">
        <f t="shared" ca="1" si="333"/>
        <v>60</v>
      </c>
      <c r="DW62" s="1392">
        <f t="shared" ca="1" si="333"/>
        <v>58</v>
      </c>
      <c r="DX62" s="1392">
        <f t="shared" ca="1" si="333"/>
        <v>27</v>
      </c>
      <c r="DY62" s="1392">
        <f t="shared" ca="1" si="333"/>
        <v>36</v>
      </c>
      <c r="DZ62" s="1392">
        <f t="shared" ca="1" si="333"/>
        <v>74</v>
      </c>
      <c r="EA62" s="1392">
        <f t="shared" ca="1" si="333"/>
        <v>44</v>
      </c>
      <c r="EB62" s="1392">
        <f t="shared" ca="1" si="333"/>
        <v>17</v>
      </c>
      <c r="EC62" s="1392">
        <f t="shared" ca="1" si="333"/>
        <v>73</v>
      </c>
      <c r="ED62" s="1392">
        <f t="shared" ca="1" si="333"/>
        <v>52</v>
      </c>
      <c r="EE62" s="1392">
        <f t="shared" ca="1" si="334"/>
        <v>25</v>
      </c>
      <c r="EF62" s="1392">
        <f t="shared" ca="1" si="334"/>
        <v>20</v>
      </c>
      <c r="EG62" s="1392">
        <f t="shared" ca="1" si="334"/>
        <v>17</v>
      </c>
      <c r="EH62" s="1392">
        <f t="shared" ca="1" si="334"/>
        <v>42</v>
      </c>
      <c r="EI62" s="1392">
        <f t="shared" ca="1" si="334"/>
        <v>69</v>
      </c>
      <c r="EJ62" s="1392">
        <f t="shared" ca="1" si="334"/>
        <v>11</v>
      </c>
      <c r="EK62" s="1392">
        <f t="shared" ca="1" si="334"/>
        <v>71</v>
      </c>
      <c r="EL62" s="1392">
        <f t="shared" ca="1" si="334"/>
        <v>42</v>
      </c>
      <c r="EM62" s="1392">
        <f t="shared" ca="1" si="334"/>
        <v>78</v>
      </c>
      <c r="EN62" s="1392">
        <f t="shared" ca="1" si="334"/>
        <v>57</v>
      </c>
      <c r="EO62" s="1392">
        <f t="shared" ca="1" si="334"/>
        <v>46</v>
      </c>
      <c r="EP62" s="1392">
        <f t="shared" ca="1" si="334"/>
        <v>29</v>
      </c>
      <c r="EQ62" s="1392">
        <f t="shared" ca="1" si="334"/>
        <v>71</v>
      </c>
      <c r="ER62" s="1393">
        <f t="shared" ca="1" si="334"/>
        <v>5</v>
      </c>
      <c r="ES62" s="377"/>
      <c r="ET62" s="316">
        <f t="shared" ca="1" si="335"/>
        <v>13359.726829661873</v>
      </c>
      <c r="EU62" s="1392">
        <f t="shared" ca="1" si="20"/>
        <v>54.598150033144236</v>
      </c>
      <c r="EV62" s="1392">
        <f t="shared" ca="1" si="21"/>
        <v>51136035.380597278</v>
      </c>
      <c r="EW62" s="1392">
        <f t="shared" ca="1" si="22"/>
        <v>126753.55900574342</v>
      </c>
      <c r="EX62" s="1392">
        <f t="shared" ca="1" si="23"/>
        <v>139002155.75451639</v>
      </c>
      <c r="EY62" s="1392">
        <f t="shared" ca="1" si="24"/>
        <v>46630.028453524326</v>
      </c>
      <c r="EZ62" s="1392">
        <f t="shared" ca="1" si="25"/>
        <v>2545913.2895553061</v>
      </c>
      <c r="FA62" s="1392">
        <f t="shared" ca="1" si="26"/>
        <v>139002155.75451639</v>
      </c>
      <c r="FB62" s="1392">
        <f t="shared" ca="1" si="27"/>
        <v>1808.0424144560632</v>
      </c>
      <c r="FC62" s="1392">
        <f t="shared" ca="1" si="28"/>
        <v>46630.028453524326</v>
      </c>
      <c r="FD62" s="1392">
        <f t="shared" ca="1" si="29"/>
        <v>3827.6258214399063</v>
      </c>
      <c r="FE62" s="1392">
        <f t="shared" ca="1" si="30"/>
        <v>84309069.231265053</v>
      </c>
      <c r="FF62" s="1392">
        <f t="shared" ca="1" si="31"/>
        <v>442413.39200892049</v>
      </c>
      <c r="FG62" s="1392">
        <f t="shared" ca="1" si="32"/>
        <v>4914.7688402991344</v>
      </c>
      <c r="FH62" s="1392">
        <f t="shared" ca="1" si="33"/>
        <v>1096.6331584284585</v>
      </c>
      <c r="FI62" s="1392">
        <f t="shared" ca="1" si="34"/>
        <v>20.085536923187668</v>
      </c>
      <c r="FJ62" s="1392">
        <f t="shared" ca="1" si="35"/>
        <v>6920509.8318305807</v>
      </c>
      <c r="FK62" s="1392">
        <f t="shared" ca="1" si="36"/>
        <v>8886110.5205078721</v>
      </c>
      <c r="FL62" s="1392">
        <f t="shared" ca="1" si="37"/>
        <v>24154952.753575299</v>
      </c>
      <c r="FM62" s="1392">
        <f t="shared" ca="1" si="38"/>
        <v>46630.028453524326</v>
      </c>
      <c r="FN62" s="1392">
        <f t="shared" ca="1" si="39"/>
        <v>518.01282466834198</v>
      </c>
      <c r="FO62" s="1392">
        <f t="shared" ca="1" si="40"/>
        <v>1408.1048482046956</v>
      </c>
      <c r="FP62" s="1392">
        <f t="shared" ca="1" si="41"/>
        <v>13359.726829661873</v>
      </c>
      <c r="FQ62" s="1392">
        <f t="shared" ca="1" si="42"/>
        <v>84309069.231265053</v>
      </c>
      <c r="FR62" s="1392">
        <f t="shared" ca="1" si="43"/>
        <v>70.105412346687856</v>
      </c>
      <c r="FS62" s="1392">
        <f t="shared" ca="1" si="44"/>
        <v>5.7546026760057307</v>
      </c>
      <c r="FT62" s="1392">
        <f t="shared" ca="1" si="45"/>
        <v>3269017.3724721107</v>
      </c>
      <c r="FU62" s="1392">
        <f t="shared" ca="1" si="46"/>
        <v>11409991.763828445</v>
      </c>
      <c r="FV62" s="1392">
        <f t="shared" ca="1" si="47"/>
        <v>208981.28886971297</v>
      </c>
      <c r="FW62" s="1392">
        <f t="shared" ca="1" si="48"/>
        <v>518.01282466834198</v>
      </c>
      <c r="FX62" s="1392">
        <f t="shared" ca="1" si="49"/>
        <v>3.4903429574618414</v>
      </c>
      <c r="FY62" s="1392">
        <f t="shared" ca="1" si="50"/>
        <v>178482300.96318725</v>
      </c>
      <c r="FZ62" s="1392">
        <f t="shared" ca="1" si="51"/>
        <v>4914.7688402991344</v>
      </c>
      <c r="GA62" s="1392">
        <f t="shared" ca="1" si="52"/>
        <v>854.05876252615155</v>
      </c>
      <c r="GB62" s="1392">
        <f t="shared" ca="1" si="53"/>
        <v>98715.771010760494</v>
      </c>
      <c r="GC62" s="1392">
        <f t="shared" ca="1" si="54"/>
        <v>1408.1048482046956</v>
      </c>
      <c r="GD62" s="1392">
        <f t="shared" ca="1" si="55"/>
        <v>9.4877358363585262</v>
      </c>
      <c r="GE62" s="1392">
        <f t="shared" ca="1" si="56"/>
        <v>25.790339917193062</v>
      </c>
      <c r="GF62" s="1392">
        <f t="shared" ca="1" si="57"/>
        <v>403.42879349273511</v>
      </c>
      <c r="GG62" s="1392">
        <f t="shared" ca="1" si="58"/>
        <v>729416.36984770128</v>
      </c>
      <c r="GH62" s="1392">
        <f t="shared" ca="1" si="59"/>
        <v>178482300.96318725</v>
      </c>
      <c r="GI62" s="1392">
        <f t="shared" ca="1" si="60"/>
        <v>33.115451958692312</v>
      </c>
      <c r="GJ62" s="1392">
        <f t="shared" ca="1" si="61"/>
        <v>6310.6881080890244</v>
      </c>
      <c r="GK62" s="1392">
        <f t="shared" ca="1" si="62"/>
        <v>936589.15823255444</v>
      </c>
      <c r="GL62" s="1392">
        <f t="shared" ca="1" si="63"/>
        <v>5.7546026760057307</v>
      </c>
      <c r="GM62" s="1392">
        <f t="shared" ca="1" si="64"/>
        <v>244.69193226422038</v>
      </c>
      <c r="GN62" s="1392">
        <f t="shared" ca="1" si="65"/>
        <v>1808.0424144560632</v>
      </c>
      <c r="GO62" s="1392">
        <f t="shared" ca="1" si="66"/>
        <v>729416.36984770128</v>
      </c>
      <c r="GP62" s="1392">
        <f t="shared" ca="1" si="67"/>
        <v>8886110.5205078721</v>
      </c>
      <c r="GQ62" s="1392">
        <f t="shared" ca="1" si="68"/>
        <v>3269017.3724721107</v>
      </c>
      <c r="GR62" s="1392">
        <f t="shared" ca="1" si="69"/>
        <v>10404.565716560723</v>
      </c>
      <c r="GS62" s="1392">
        <f t="shared" ca="1" si="70"/>
        <v>665.14163304436181</v>
      </c>
      <c r="GT62" s="1392">
        <f t="shared" ca="1" si="71"/>
        <v>8886110.5205078721</v>
      </c>
      <c r="GU62" s="1392">
        <f t="shared" ca="1" si="72"/>
        <v>568070.04002249124</v>
      </c>
      <c r="GV62" s="1392">
        <f t="shared" ca="1" si="73"/>
        <v>4914.7688402991344</v>
      </c>
      <c r="GW62" s="1392">
        <f t="shared" ca="1" si="74"/>
        <v>1982759.2635375687</v>
      </c>
      <c r="GX62" s="1392">
        <f t="shared" ca="1" si="75"/>
        <v>5389698.476283012</v>
      </c>
      <c r="GY62" s="1392">
        <f t="shared" ca="1" si="76"/>
        <v>126753.55900574342</v>
      </c>
      <c r="GZ62" s="1392">
        <f t="shared" ca="1" si="77"/>
        <v>518.01282466834198</v>
      </c>
      <c r="HA62" s="1392">
        <f t="shared" ca="1" si="78"/>
        <v>84309069.231265053</v>
      </c>
      <c r="HB62" s="1392">
        <f t="shared" ca="1" si="79"/>
        <v>6310.6881080890244</v>
      </c>
      <c r="HC62" s="1392">
        <f t="shared" ca="1" si="80"/>
        <v>8103.0839275753842</v>
      </c>
      <c r="HD62" s="1392">
        <f t="shared" ca="1" si="81"/>
        <v>568070.04002249124</v>
      </c>
      <c r="HE62" s="1392">
        <f t="shared" ca="1" si="82"/>
        <v>936589.15823255444</v>
      </c>
      <c r="HF62" s="1392">
        <f t="shared" ca="1" si="83"/>
        <v>14650719.428953517</v>
      </c>
      <c r="HG62" s="1392">
        <f t="shared" ca="1" si="84"/>
        <v>28282.541920334977</v>
      </c>
      <c r="HH62" s="1392">
        <f t="shared" ca="1" si="85"/>
        <v>178482300.96318725</v>
      </c>
      <c r="HI62" s="1392">
        <f t="shared" ca="1" si="86"/>
        <v>54.598150033144236</v>
      </c>
      <c r="HJ62" s="1392">
        <f t="shared" ca="1" si="87"/>
        <v>65659969.13733051</v>
      </c>
      <c r="HK62" s="1392">
        <f t="shared" ca="1" si="88"/>
        <v>1544174.4670851405</v>
      </c>
      <c r="HL62" s="1392">
        <f t="shared" ca="1" si="89"/>
        <v>2545913.2895553061</v>
      </c>
      <c r="HM62" s="1392">
        <f t="shared" ca="1" si="90"/>
        <v>31015573.274482232</v>
      </c>
      <c r="HN62" s="1392">
        <f t="shared" ca="1" si="91"/>
        <v>2321.572414611057</v>
      </c>
      <c r="HO62" s="1392">
        <f t="shared" ca="1" si="92"/>
        <v>7.3890560989306504</v>
      </c>
      <c r="HP62" s="1392">
        <f t="shared" ca="1" si="93"/>
        <v>24154952.753575299</v>
      </c>
      <c r="HQ62" s="1392">
        <f t="shared" ca="1" si="94"/>
        <v>294267566.04150879</v>
      </c>
      <c r="HR62" s="1392">
        <f t="shared" ca="1" si="95"/>
        <v>244.69193226422038</v>
      </c>
      <c r="HS62" s="1392">
        <f t="shared" ca="1" si="96"/>
        <v>10404.565716560723</v>
      </c>
      <c r="HT62" s="1392">
        <f t="shared" ca="1" si="97"/>
        <v>98715.771010760494</v>
      </c>
      <c r="HU62" s="1392">
        <f t="shared" ca="1" si="98"/>
        <v>70.105412346687856</v>
      </c>
      <c r="HV62" s="1392">
        <f t="shared" ca="1" si="99"/>
        <v>4914.7688402991344</v>
      </c>
      <c r="HW62" s="1392">
        <f t="shared" ca="1" si="100"/>
        <v>4.4816890703380645</v>
      </c>
      <c r="HX62" s="1392">
        <f t="shared" ca="1" si="101"/>
        <v>178482300.96318725</v>
      </c>
      <c r="HY62" s="1392">
        <f t="shared" ca="1" si="102"/>
        <v>2980.9579870417283</v>
      </c>
      <c r="HZ62" s="1392">
        <f t="shared" ca="1" si="103"/>
        <v>115.58428452718766</v>
      </c>
      <c r="IA62" s="1392">
        <f t="shared" ca="1" si="104"/>
        <v>403.42879349273511</v>
      </c>
      <c r="IB62" s="1392">
        <f t="shared" ca="1" si="105"/>
        <v>162754.79141900392</v>
      </c>
      <c r="IC62" s="1392">
        <f t="shared" ca="1" si="106"/>
        <v>854.05876252615155</v>
      </c>
      <c r="ID62" s="1392">
        <f t="shared" ca="1" si="107"/>
        <v>2321.572414611057</v>
      </c>
      <c r="IE62" s="1392">
        <f t="shared" ca="1" si="108"/>
        <v>20.085536923187668</v>
      </c>
      <c r="IF62" s="1392">
        <f t="shared" ca="1" si="109"/>
        <v>729416.36984770128</v>
      </c>
      <c r="IG62" s="1392">
        <f t="shared" ca="1" si="110"/>
        <v>148.4131591025766</v>
      </c>
      <c r="IH62" s="1392">
        <f t="shared" ca="1" si="111"/>
        <v>314.19066028569421</v>
      </c>
      <c r="II62" s="1392">
        <f t="shared" ca="1" si="112"/>
        <v>24154952.753575299</v>
      </c>
      <c r="IJ62" s="1392">
        <f t="shared" ca="1" si="113"/>
        <v>442413.39200892049</v>
      </c>
      <c r="IK62" s="1392">
        <f t="shared" ca="1" si="114"/>
        <v>8103.0839275753842</v>
      </c>
      <c r="IL62" s="1392">
        <f t="shared" ca="1" si="115"/>
        <v>10404.565716560723</v>
      </c>
      <c r="IM62" s="1392">
        <f t="shared" ca="1" si="116"/>
        <v>51136035.380597278</v>
      </c>
      <c r="IN62" s="1392">
        <f t="shared" ca="1" si="117"/>
        <v>76879.919764677761</v>
      </c>
      <c r="IO62" s="1392">
        <f t="shared" ca="1" si="118"/>
        <v>42.521082000062783</v>
      </c>
      <c r="IP62" s="1392">
        <f t="shared" ca="1" si="119"/>
        <v>14650719.428953517</v>
      </c>
      <c r="IQ62" s="1392">
        <f t="shared" ca="1" si="120"/>
        <v>1202604.2841647768</v>
      </c>
      <c r="IR62" s="1392">
        <f t="shared" ca="1" si="121"/>
        <v>24154952.753575299</v>
      </c>
      <c r="IS62" s="1392">
        <f t="shared" ca="1" si="122"/>
        <v>1408.1048482046956</v>
      </c>
      <c r="IT62" s="1392">
        <f t="shared" ca="1" si="123"/>
        <v>7.3890560989306504</v>
      </c>
      <c r="IU62" s="1392">
        <f t="shared" ca="1" si="124"/>
        <v>33.115451958692312</v>
      </c>
      <c r="IV62" s="1392">
        <f t="shared" ca="1" si="125"/>
        <v>36315.502674246636</v>
      </c>
      <c r="IW62" s="1392">
        <f t="shared" ca="1" si="126"/>
        <v>3827.6258214399063</v>
      </c>
      <c r="IX62" s="1392">
        <f t="shared" ca="1" si="127"/>
        <v>33.115451958692312</v>
      </c>
      <c r="IY62" s="1392">
        <f t="shared" ca="1" si="128"/>
        <v>11409991.763828445</v>
      </c>
      <c r="IZ62" s="1392">
        <f t="shared" ca="1" si="129"/>
        <v>65659969.13733051</v>
      </c>
      <c r="JA62" s="1392">
        <f t="shared" ca="1" si="130"/>
        <v>1202604.2841647768</v>
      </c>
      <c r="JB62" s="1392">
        <f t="shared" ca="1" si="131"/>
        <v>12.182493960703473</v>
      </c>
      <c r="JC62" s="1392">
        <f t="shared" ca="1" si="132"/>
        <v>5.7546026760057307</v>
      </c>
      <c r="JD62" s="1392">
        <f t="shared" ca="1" si="133"/>
        <v>854.05876252615155</v>
      </c>
      <c r="JE62" s="1392">
        <f t="shared" ca="1" si="134"/>
        <v>54.598150033144236</v>
      </c>
      <c r="JF62" s="1392">
        <f t="shared" ca="1" si="135"/>
        <v>208981.28886971297</v>
      </c>
      <c r="JG62" s="1392">
        <f t="shared" ca="1" si="136"/>
        <v>2980.9579870417283</v>
      </c>
      <c r="JH62" s="1392">
        <f t="shared" ca="1" si="137"/>
        <v>178482300.96318725</v>
      </c>
      <c r="JI62" s="1392">
        <f t="shared" ca="1" si="138"/>
        <v>42.521082000062783</v>
      </c>
      <c r="JJ62" s="1392">
        <f t="shared" ca="1" si="139"/>
        <v>51136035.380597278</v>
      </c>
      <c r="JK62" s="1392">
        <f t="shared" ca="1" si="140"/>
        <v>3269017.3724721107</v>
      </c>
      <c r="JL62" s="1392">
        <f t="shared" ca="1" si="141"/>
        <v>1982759.2635375687</v>
      </c>
      <c r="JM62" s="1392">
        <f t="shared" ca="1" si="142"/>
        <v>854.05876252615155</v>
      </c>
      <c r="JN62" s="1392">
        <f t="shared" ca="1" si="143"/>
        <v>8103.0839275753842</v>
      </c>
      <c r="JO62" s="1392">
        <f t="shared" ca="1" si="144"/>
        <v>108254987.75023076</v>
      </c>
      <c r="JP62" s="1392">
        <f t="shared" ca="1" si="145"/>
        <v>59874.141715197817</v>
      </c>
      <c r="JQ62" s="1392">
        <f t="shared" ca="1" si="146"/>
        <v>70.105412346687856</v>
      </c>
      <c r="JR62" s="1392">
        <f t="shared" ca="1" si="147"/>
        <v>84309069.231265053</v>
      </c>
      <c r="JS62" s="1392">
        <f t="shared" ca="1" si="148"/>
        <v>442413.39200892049</v>
      </c>
      <c r="JT62" s="1392">
        <f t="shared" ca="1" si="149"/>
        <v>518.01282466834198</v>
      </c>
      <c r="JU62" s="1392">
        <f t="shared" ca="1" si="150"/>
        <v>148.4131591025766</v>
      </c>
      <c r="JV62" s="1392">
        <f t="shared" ca="1" si="151"/>
        <v>70.105412346687856</v>
      </c>
      <c r="JW62" s="1392">
        <f t="shared" ca="1" si="152"/>
        <v>36315.502674246636</v>
      </c>
      <c r="JX62" s="1392">
        <f t="shared" ca="1" si="153"/>
        <v>31015573.274482232</v>
      </c>
      <c r="JY62" s="1392">
        <f t="shared" ca="1" si="154"/>
        <v>15.642631884188171</v>
      </c>
      <c r="JZ62" s="1392">
        <f t="shared" ca="1" si="155"/>
        <v>51136035.380597278</v>
      </c>
      <c r="KA62" s="1392">
        <f t="shared" ca="1" si="156"/>
        <v>36315.502674246636</v>
      </c>
      <c r="KB62" s="1392">
        <f t="shared" ca="1" si="157"/>
        <v>294267566.04150879</v>
      </c>
      <c r="KC62" s="1392">
        <f t="shared" ca="1" si="158"/>
        <v>1544174.4670851405</v>
      </c>
      <c r="KD62" s="1392">
        <f t="shared" ca="1" si="159"/>
        <v>98715.771010760494</v>
      </c>
      <c r="KE62" s="1392">
        <f t="shared" ca="1" si="160"/>
        <v>1408.1048482046956</v>
      </c>
      <c r="KF62" s="1392">
        <f t="shared" ca="1" si="161"/>
        <v>51136035.380597278</v>
      </c>
      <c r="KG62" s="1399">
        <f t="shared" ca="1" si="162"/>
        <v>3.4903429574618414</v>
      </c>
      <c r="KH62" s="1406">
        <f t="shared" ca="1" si="163"/>
        <v>2873762335.4424415</v>
      </c>
      <c r="KI62" s="377"/>
      <c r="KJ62" s="1444">
        <f t="shared" ca="1" si="164"/>
        <v>87.115551705949656</v>
      </c>
      <c r="KK62" s="49">
        <f t="shared" ca="1" si="165"/>
        <v>-0.99397954852011594</v>
      </c>
      <c r="KL62" s="377"/>
      <c r="KM62" s="908">
        <f t="shared" ca="1" si="166"/>
        <v>4.6488628043087713E-6</v>
      </c>
      <c r="KN62" s="1411">
        <f t="shared" ca="1" si="167"/>
        <v>1.8998839729987051E-8</v>
      </c>
      <c r="KO62" s="1411">
        <f t="shared" ca="1" si="168"/>
        <v>1.7794107310103786E-2</v>
      </c>
      <c r="KP62" s="1411">
        <f t="shared" ca="1" si="169"/>
        <v>4.4107182226754522E-5</v>
      </c>
      <c r="KQ62" s="1411">
        <f t="shared" ca="1" si="170"/>
        <v>4.836939855470538E-2</v>
      </c>
      <c r="KR62" s="1411">
        <f t="shared" ca="1" si="171"/>
        <v>1.6226125549225425E-5</v>
      </c>
      <c r="KS62" s="1411">
        <f t="shared" ca="1" si="172"/>
        <v>8.8591643719324476E-4</v>
      </c>
      <c r="KT62" s="1411">
        <f t="shared" ca="1" si="173"/>
        <v>4.836939855470538E-2</v>
      </c>
      <c r="KU62" s="1411">
        <f t="shared" ca="1" si="174"/>
        <v>6.2915516434928106E-7</v>
      </c>
      <c r="KV62" s="1411">
        <f t="shared" ca="1" si="175"/>
        <v>1.6226125549225425E-5</v>
      </c>
      <c r="KW62" s="1411">
        <f t="shared" ca="1" si="176"/>
        <v>1.3319214933793783E-6</v>
      </c>
      <c r="KX62" s="1411">
        <f t="shared" ca="1" si="177"/>
        <v>2.9337523215288753E-2</v>
      </c>
      <c r="KY62" s="1411">
        <f t="shared" ca="1" si="178"/>
        <v>1.5394919285863874E-4</v>
      </c>
      <c r="KZ62" s="1411">
        <f t="shared" ca="1" si="179"/>
        <v>1.710221050531815E-6</v>
      </c>
      <c r="LA62" s="1411">
        <f t="shared" ca="1" si="180"/>
        <v>3.8160189689437973E-7</v>
      </c>
      <c r="LB62" s="1411">
        <f t="shared" ca="1" si="181"/>
        <v>6.9892825427734338E-9</v>
      </c>
      <c r="LC62" s="1411">
        <f t="shared" ca="1" si="182"/>
        <v>2.4081705527555764E-3</v>
      </c>
      <c r="LD62" s="1411">
        <f t="shared" ca="1" si="183"/>
        <v>3.0921521974571274E-3</v>
      </c>
      <c r="LE62" s="1411">
        <f t="shared" ca="1" si="184"/>
        <v>8.4053411291774155E-3</v>
      </c>
      <c r="LF62" s="1411">
        <f t="shared" ca="1" si="185"/>
        <v>1.6226125549225425E-5</v>
      </c>
      <c r="LG62" s="1411">
        <f t="shared" ca="1" si="186"/>
        <v>1.8025597255543029E-7</v>
      </c>
      <c r="LH62" s="1411">
        <f t="shared" ca="1" si="187"/>
        <v>4.8998653466863853E-7</v>
      </c>
      <c r="LI62" s="1411">
        <f t="shared" ca="1" si="188"/>
        <v>4.6488628043087713E-6</v>
      </c>
      <c r="LJ62" s="1411">
        <f t="shared" ca="1" si="189"/>
        <v>2.9337523215288753E-2</v>
      </c>
      <c r="LK62" s="1411">
        <f t="shared" ca="1" si="190"/>
        <v>2.4394993100880243E-8</v>
      </c>
      <c r="LL62" s="1411">
        <f t="shared" ca="1" si="191"/>
        <v>2.0024629751157758E-9</v>
      </c>
      <c r="LM62" s="1411">
        <f t="shared" ca="1" si="192"/>
        <v>1.1375392224175756E-3</v>
      </c>
      <c r="LN62" s="1411">
        <f t="shared" ca="1" si="193"/>
        <v>3.9704020138018039E-3</v>
      </c>
      <c r="LO62" s="1411">
        <f t="shared" ca="1" si="194"/>
        <v>7.2720449527896821E-5</v>
      </c>
      <c r="LP62" s="1411">
        <f t="shared" ca="1" si="195"/>
        <v>1.8025597255543029E-7</v>
      </c>
      <c r="LQ62" s="1411">
        <f t="shared" ca="1" si="196"/>
        <v>1.214555189347094E-9</v>
      </c>
      <c r="LR62" s="1411">
        <f t="shared" ca="1" si="197"/>
        <v>6.2107537134141015E-2</v>
      </c>
      <c r="LS62" s="1411">
        <f t="shared" ca="1" si="198"/>
        <v>1.710221050531815E-6</v>
      </c>
      <c r="LT62" s="1411">
        <f t="shared" ca="1" si="199"/>
        <v>2.9719185612287646E-7</v>
      </c>
      <c r="LU62" s="1411">
        <f t="shared" ca="1" si="200"/>
        <v>3.4350708057269569E-5</v>
      </c>
      <c r="LV62" s="1411">
        <f t="shared" ca="1" si="201"/>
        <v>4.8998653466863853E-7</v>
      </c>
      <c r="LW62" s="1411">
        <f t="shared" ca="1" si="202"/>
        <v>3.3015033008628404E-9</v>
      </c>
      <c r="LX62" s="1411">
        <f t="shared" ca="1" si="203"/>
        <v>8.9744164293330159E-9</v>
      </c>
      <c r="LY62" s="1411">
        <f t="shared" ca="1" si="204"/>
        <v>1.4038349257946679E-7</v>
      </c>
      <c r="LZ62" s="1411">
        <f t="shared" ca="1" si="205"/>
        <v>2.5381930887315396E-4</v>
      </c>
      <c r="MA62" s="1411">
        <f t="shared" ca="1" si="206"/>
        <v>6.2107537134141015E-2</v>
      </c>
      <c r="MB62" s="1411">
        <f t="shared" ca="1" si="207"/>
        <v>1.1523378795203638E-8</v>
      </c>
      <c r="MC62" s="1411">
        <f t="shared" ca="1" si="208"/>
        <v>2.1959672970372611E-6</v>
      </c>
      <c r="MD62" s="1411">
        <f t="shared" ca="1" si="209"/>
        <v>3.2591044383924607E-4</v>
      </c>
      <c r="ME62" s="1411">
        <f t="shared" ca="1" si="210"/>
        <v>2.0024629751157758E-9</v>
      </c>
      <c r="MF62" s="1411">
        <f t="shared" ca="1" si="211"/>
        <v>8.5146892366987566E-8</v>
      </c>
      <c r="MG62" s="1411">
        <f t="shared" ca="1" si="212"/>
        <v>6.2915516434928106E-7</v>
      </c>
      <c r="MH62" s="1411">
        <f t="shared" ca="1" si="213"/>
        <v>2.5381930887315396E-4</v>
      </c>
      <c r="MI62" s="1411">
        <f t="shared" ca="1" si="214"/>
        <v>3.0921521974571274E-3</v>
      </c>
      <c r="MJ62" s="1411">
        <f t="shared" ca="1" si="215"/>
        <v>1.1375392224175756E-3</v>
      </c>
      <c r="MK62" s="1411">
        <f t="shared" ca="1" si="216"/>
        <v>3.6205379923871979E-6</v>
      </c>
      <c r="ML62" s="1411">
        <f t="shared" ca="1" si="217"/>
        <v>2.3145325027094049E-7</v>
      </c>
      <c r="MM62" s="1411">
        <f t="shared" ca="1" si="218"/>
        <v>3.0921521974571274E-3</v>
      </c>
      <c r="MN62" s="1411">
        <f t="shared" ca="1" si="219"/>
        <v>1.9767467650905508E-4</v>
      </c>
      <c r="MO62" s="1411">
        <f t="shared" ca="1" si="220"/>
        <v>1.710221050531815E-6</v>
      </c>
      <c r="MP62" s="1411">
        <f t="shared" ca="1" si="221"/>
        <v>6.8995241502192814E-4</v>
      </c>
      <c r="MQ62" s="1411">
        <f t="shared" ca="1" si="222"/>
        <v>1.8754851122555407E-3</v>
      </c>
      <c r="MR62" s="1411">
        <f t="shared" ca="1" si="223"/>
        <v>4.4107182226754522E-5</v>
      </c>
      <c r="MS62" s="1411">
        <f t="shared" ca="1" si="224"/>
        <v>1.8025597255543029E-7</v>
      </c>
      <c r="MT62" s="1411">
        <f t="shared" ca="1" si="225"/>
        <v>2.9337523215288753E-2</v>
      </c>
      <c r="MU62" s="1411">
        <f t="shared" ca="1" si="226"/>
        <v>2.1959672970372611E-6</v>
      </c>
      <c r="MV62" s="1411">
        <f t="shared" ca="1" si="227"/>
        <v>2.8196778236109221E-6</v>
      </c>
      <c r="MW62" s="1411">
        <f t="shared" ca="1" si="228"/>
        <v>1.9767467650905508E-4</v>
      </c>
      <c r="MX62" s="1411">
        <f t="shared" ca="1" si="229"/>
        <v>3.2591044383924607E-4</v>
      </c>
      <c r="MY62" s="1411">
        <f t="shared" ca="1" si="230"/>
        <v>5.0980971001897092E-3</v>
      </c>
      <c r="MZ62" s="1411">
        <f t="shared" ca="1" si="231"/>
        <v>9.8416426339517134E-6</v>
      </c>
      <c r="NA62" s="1411">
        <f t="shared" ca="1" si="232"/>
        <v>6.2107537134141015E-2</v>
      </c>
      <c r="NB62" s="1411">
        <f t="shared" ca="1" si="233"/>
        <v>1.8998839729987051E-8</v>
      </c>
      <c r="NC62" s="1411">
        <f t="shared" ca="1" si="234"/>
        <v>2.28480860534424E-2</v>
      </c>
      <c r="ND62" s="1411">
        <f t="shared" ca="1" si="235"/>
        <v>5.3733548110108454E-4</v>
      </c>
      <c r="NE62" s="1411">
        <f t="shared" ca="1" si="236"/>
        <v>8.8591643719324476E-4</v>
      </c>
      <c r="NF62" s="1411">
        <f t="shared" ca="1" si="237"/>
        <v>1.0792671645794644E-2</v>
      </c>
      <c r="NG62" s="1411">
        <f t="shared" ca="1" si="238"/>
        <v>8.0785122206483022E-7</v>
      </c>
      <c r="NH62" s="1411">
        <f t="shared" ca="1" si="239"/>
        <v>2.5712133560248081E-9</v>
      </c>
      <c r="NI62" s="1411">
        <f t="shared" ca="1" si="240"/>
        <v>8.4053411291774155E-3</v>
      </c>
      <c r="NJ62" s="1411">
        <f t="shared" ca="1" si="241"/>
        <v>0.10239801754385637</v>
      </c>
      <c r="NK62" s="1411">
        <f t="shared" ca="1" si="242"/>
        <v>8.5146892366987566E-8</v>
      </c>
      <c r="NL62" s="1411">
        <f t="shared" ca="1" si="243"/>
        <v>3.6205379923871979E-6</v>
      </c>
      <c r="NM62" s="1411">
        <f t="shared" ca="1" si="244"/>
        <v>3.4350708057269569E-5</v>
      </c>
      <c r="NN62" s="1411">
        <f t="shared" ca="1" si="245"/>
        <v>2.4394993100880243E-8</v>
      </c>
      <c r="NO62" s="1411">
        <f t="shared" ca="1" si="246"/>
        <v>1.710221050531815E-6</v>
      </c>
      <c r="NP62" s="1411">
        <f t="shared" ca="1" si="247"/>
        <v>1.559519733091661E-9</v>
      </c>
      <c r="NQ62" s="1411">
        <f t="shared" ca="1" si="248"/>
        <v>6.2107537134141015E-2</v>
      </c>
      <c r="NR62" s="1411">
        <f t="shared" ca="1" si="249"/>
        <v>1.0373015020334948E-6</v>
      </c>
      <c r="NS62" s="1411">
        <f t="shared" ca="1" si="250"/>
        <v>4.022054402400414E-8</v>
      </c>
      <c r="NT62" s="1411">
        <f t="shared" ca="1" si="251"/>
        <v>1.4038349257946679E-7</v>
      </c>
      <c r="NU62" s="1411">
        <f t="shared" ca="1" si="252"/>
        <v>5.6634743037630617E-5</v>
      </c>
      <c r="NV62" s="1411">
        <f t="shared" ca="1" si="253"/>
        <v>2.9719185612287646E-7</v>
      </c>
      <c r="NW62" s="1411">
        <f t="shared" ca="1" si="254"/>
        <v>8.0785122206483022E-7</v>
      </c>
      <c r="NX62" s="1411">
        <f t="shared" ca="1" si="255"/>
        <v>6.9892825427734338E-9</v>
      </c>
      <c r="NY62" s="1411">
        <f t="shared" ca="1" si="256"/>
        <v>2.5381930887315396E-4</v>
      </c>
      <c r="NZ62" s="1411">
        <f t="shared" ca="1" si="257"/>
        <v>5.1644200799829561E-8</v>
      </c>
      <c r="OA62" s="1411">
        <f t="shared" ca="1" si="258"/>
        <v>1.0933077395118749E-7</v>
      </c>
      <c r="OB62" s="1411">
        <f t="shared" ca="1" si="259"/>
        <v>8.4053411291774155E-3</v>
      </c>
      <c r="OC62" s="1411">
        <f t="shared" ca="1" si="260"/>
        <v>1.5394919285863874E-4</v>
      </c>
      <c r="OD62" s="1411">
        <f t="shared" ca="1" si="261"/>
        <v>2.8196778236109221E-6</v>
      </c>
      <c r="OE62" s="1411">
        <f t="shared" ca="1" si="262"/>
        <v>3.6205379923871979E-6</v>
      </c>
      <c r="OF62" s="1411">
        <f t="shared" ca="1" si="263"/>
        <v>1.7794107310103786E-2</v>
      </c>
      <c r="OG62" s="1411">
        <f t="shared" ca="1" si="264"/>
        <v>2.6752358334058759E-5</v>
      </c>
      <c r="OH62" s="1411">
        <f t="shared" ca="1" si="265"/>
        <v>1.4796311259162036E-8</v>
      </c>
      <c r="OI62" s="1411">
        <f t="shared" ca="1" si="266"/>
        <v>5.0980971001897092E-3</v>
      </c>
      <c r="OJ62" s="1411">
        <f t="shared" ca="1" si="267"/>
        <v>4.184772934535747E-4</v>
      </c>
      <c r="OK62" s="1411">
        <f t="shared" ca="1" si="268"/>
        <v>8.4053411291774155E-3</v>
      </c>
      <c r="OL62" s="1411">
        <f t="shared" ca="1" si="269"/>
        <v>4.8998653466863853E-7</v>
      </c>
      <c r="OM62" s="1411">
        <f t="shared" ca="1" si="270"/>
        <v>2.5712133560248081E-9</v>
      </c>
      <c r="ON62" s="1411">
        <f t="shared" ca="1" si="271"/>
        <v>1.1523378795203638E-8</v>
      </c>
      <c r="OO62" s="1411">
        <f t="shared" ca="1" si="272"/>
        <v>1.2636919283951691E-5</v>
      </c>
      <c r="OP62" s="1411">
        <f t="shared" ca="1" si="273"/>
        <v>1.3319214933793783E-6</v>
      </c>
      <c r="OQ62" s="1411">
        <f t="shared" ca="1" si="274"/>
        <v>1.1523378795203638E-8</v>
      </c>
      <c r="OR62" s="1411">
        <f t="shared" ca="1" si="275"/>
        <v>3.9704020138018039E-3</v>
      </c>
      <c r="OS62" s="1411">
        <f t="shared" ca="1" si="276"/>
        <v>2.28480860534424E-2</v>
      </c>
      <c r="OT62" s="1411">
        <f t="shared" ca="1" si="277"/>
        <v>4.184772934535747E-4</v>
      </c>
      <c r="OU62" s="1411">
        <f t="shared" ca="1" si="278"/>
        <v>4.2392141515863624E-9</v>
      </c>
      <c r="OV62" s="1411">
        <f t="shared" ca="1" si="279"/>
        <v>2.0024629751157758E-9</v>
      </c>
      <c r="OW62" s="1411">
        <f t="shared" ca="1" si="280"/>
        <v>2.9719185612287646E-7</v>
      </c>
      <c r="OX62" s="1411">
        <f t="shared" ca="1" si="281"/>
        <v>1.8998839729987051E-8</v>
      </c>
      <c r="OY62" s="1411">
        <f t="shared" ca="1" si="282"/>
        <v>7.2720449527896821E-5</v>
      </c>
      <c r="OZ62" s="1411">
        <f t="shared" ca="1" si="283"/>
        <v>1.0373015020334948E-6</v>
      </c>
      <c r="PA62" s="1411">
        <f t="shared" ca="1" si="284"/>
        <v>6.2107537134141015E-2</v>
      </c>
      <c r="PB62" s="1411">
        <f t="shared" ca="1" si="285"/>
        <v>1.4796311259162036E-8</v>
      </c>
      <c r="PC62" s="1411">
        <f t="shared" ca="1" si="286"/>
        <v>1.7794107310103786E-2</v>
      </c>
      <c r="PD62" s="1411">
        <f t="shared" ca="1" si="287"/>
        <v>1.1375392224175756E-3</v>
      </c>
      <c r="PE62" s="1411">
        <f t="shared" ca="1" si="288"/>
        <v>6.8995241502192814E-4</v>
      </c>
      <c r="PF62" s="1411">
        <f t="shared" ca="1" si="289"/>
        <v>2.9719185612287646E-7</v>
      </c>
      <c r="PG62" s="1411">
        <f t="shared" ca="1" si="290"/>
        <v>2.8196778236109221E-6</v>
      </c>
      <c r="PH62" s="1411">
        <f t="shared" ca="1" si="291"/>
        <v>3.7670125471097431E-2</v>
      </c>
      <c r="PI62" s="1411">
        <f t="shared" ca="1" si="292"/>
        <v>2.0834757619571785E-5</v>
      </c>
      <c r="PJ62" s="1411">
        <f t="shared" ca="1" si="293"/>
        <v>2.4394993100880243E-8</v>
      </c>
      <c r="PK62" s="1411">
        <f t="shared" ca="1" si="294"/>
        <v>2.9337523215288753E-2</v>
      </c>
      <c r="PL62" s="1411">
        <f t="shared" ca="1" si="295"/>
        <v>1.5394919285863874E-4</v>
      </c>
      <c r="PM62" s="1411">
        <f t="shared" ca="1" si="296"/>
        <v>1.8025597255543029E-7</v>
      </c>
      <c r="PN62" s="1411">
        <f t="shared" ca="1" si="297"/>
        <v>5.1644200799829561E-8</v>
      </c>
      <c r="PO62" s="1411">
        <f t="shared" ca="1" si="298"/>
        <v>2.4394993100880243E-8</v>
      </c>
      <c r="PP62" s="1411">
        <f t="shared" ca="1" si="299"/>
        <v>1.2636919283951691E-5</v>
      </c>
      <c r="PQ62" s="1411">
        <f t="shared" ca="1" si="300"/>
        <v>1.0792671645794644E-2</v>
      </c>
      <c r="PR62" s="1411">
        <f t="shared" ca="1" si="301"/>
        <v>5.44325871741925E-9</v>
      </c>
      <c r="PS62" s="1411">
        <f t="shared" ca="1" si="302"/>
        <v>1.7794107310103786E-2</v>
      </c>
      <c r="PT62" s="1411">
        <f t="shared" ca="1" si="303"/>
        <v>1.2636919283951691E-5</v>
      </c>
      <c r="PU62" s="1411">
        <f t="shared" ca="1" si="304"/>
        <v>0.10239801754385637</v>
      </c>
      <c r="PV62" s="1411">
        <f t="shared" ca="1" si="305"/>
        <v>5.3733548110108454E-4</v>
      </c>
      <c r="PW62" s="1411">
        <f t="shared" ca="1" si="306"/>
        <v>3.4350708057269569E-5</v>
      </c>
      <c r="PX62" s="1411">
        <f t="shared" ca="1" si="307"/>
        <v>4.8998653466863853E-7</v>
      </c>
      <c r="PY62" s="1411">
        <f t="shared" ca="1" si="308"/>
        <v>1.7794107310103786E-2</v>
      </c>
      <c r="PZ62" s="1412">
        <f t="shared" ca="1" si="309"/>
        <v>1.214555189347094E-9</v>
      </c>
      <c r="QB62" s="33" t="s">
        <v>1072</v>
      </c>
      <c r="QC62" s="1432">
        <f t="shared" ca="1" si="336"/>
        <v>0.31852973021995684</v>
      </c>
      <c r="QD62" s="744">
        <f t="shared" ca="1" si="337"/>
        <v>0.32410698770846447</v>
      </c>
      <c r="QE62" s="1068">
        <f t="shared" ca="1" si="338"/>
        <v>0.35736328207157858</v>
      </c>
      <c r="QF62" s="744">
        <f t="shared" ca="1" si="339"/>
        <v>0.2439943702326236</v>
      </c>
      <c r="QG62" s="744">
        <f t="shared" ca="1" si="340"/>
        <v>0.4431722259449401</v>
      </c>
      <c r="QH62" s="1068">
        <f t="shared" ca="1" si="341"/>
        <v>0.31283340382243618</v>
      </c>
      <c r="QI62" s="744">
        <f t="shared" ca="1" si="342"/>
        <v>0.46592688593469012</v>
      </c>
      <c r="QJ62" s="1068">
        <f t="shared" ca="1" si="343"/>
        <v>0.53407311406530977</v>
      </c>
      <c r="QK62" s="744">
        <f t="shared" ca="1" si="344"/>
        <v>0.59227092681671556</v>
      </c>
      <c r="QL62" s="1068">
        <f t="shared" ca="1" si="345"/>
        <v>0.40772907318328433</v>
      </c>
      <c r="QM62" s="744">
        <f t="shared" ca="1" si="346"/>
        <v>0.29390534732515916</v>
      </c>
      <c r="QN62" s="1068">
        <f t="shared" ca="1" si="347"/>
        <v>0.70609465267484084</v>
      </c>
      <c r="QO62" s="744">
        <f t="shared" ca="1" si="348"/>
        <v>0.60683936247289083</v>
      </c>
      <c r="QP62" s="1068">
        <f t="shared" ca="1" si="349"/>
        <v>0.39316063752710884</v>
      </c>
      <c r="QR62" s="1432">
        <f t="shared" ca="1" si="350"/>
        <v>0.14499558044871211</v>
      </c>
      <c r="QS62" s="744">
        <f t="shared" ca="1" si="351"/>
        <v>0.11055313901341175</v>
      </c>
      <c r="QT62" s="744">
        <f t="shared" ca="1" si="352"/>
        <v>6.2981010757832995E-2</v>
      </c>
      <c r="QU62" s="743">
        <f t="shared" ca="1" si="353"/>
        <v>4.0000929452368557E-2</v>
      </c>
      <c r="QV62" s="744">
        <f t="shared" ca="1" si="354"/>
        <v>0.21312175437674011</v>
      </c>
      <c r="QW62" s="744">
        <f t="shared" ca="1" si="355"/>
        <v>7.0984303879355837E-2</v>
      </c>
      <c r="QX62" s="743">
        <f t="shared" ca="1" si="356"/>
        <v>5.899786033154291E-2</v>
      </c>
      <c r="QY62" s="744">
        <f t="shared" ca="1" si="357"/>
        <v>0.11949733255478832</v>
      </c>
      <c r="QZ62" s="745">
        <f t="shared" ca="1" si="358"/>
        <v>0.17886808918524724</v>
      </c>
      <c r="RC62" s="744">
        <f t="shared" ca="1" si="359"/>
        <v>2.9511758422584314E-2</v>
      </c>
      <c r="RD62" s="744">
        <f t="shared" ca="1" si="360"/>
        <v>6.7288406687872115E-2</v>
      </c>
      <c r="RE62" s="744">
        <f t="shared" ca="1" si="361"/>
        <v>6.2690190682048938E-2</v>
      </c>
      <c r="RF62" s="744">
        <f t="shared" ca="1" si="362"/>
        <v>3.1785896531212554E-2</v>
      </c>
      <c r="RG62" s="744">
        <f t="shared" ca="1" si="363"/>
        <v>0.11084224988340433</v>
      </c>
      <c r="RH62" s="744">
        <f t="shared" ca="1" si="364"/>
        <v>8.8169051242121786E-3</v>
      </c>
      <c r="RI62" s="744">
        <f t="shared" ca="1" si="365"/>
        <v>2.7250959819446058E-2</v>
      </c>
      <c r="RJ62" s="744">
        <f t="shared" ca="1" si="366"/>
        <v>5.7315700440933127E-2</v>
      </c>
      <c r="RK62" s="744">
        <f t="shared" ca="1" si="367"/>
        <v>0.13857104647359608</v>
      </c>
      <c r="RL62" s="1251"/>
      <c r="RM62" s="744">
        <f t="shared" ca="1" si="368"/>
        <v>9.7796987677241834E-2</v>
      </c>
      <c r="RN62" s="744">
        <f t="shared" ca="1" si="369"/>
        <v>9.1523281374796941E-2</v>
      </c>
      <c r="RO62" s="744">
        <f t="shared" ca="1" si="370"/>
        <v>5.0850758167830898E-4</v>
      </c>
      <c r="RP62" s="744">
        <f t="shared" ca="1" si="371"/>
        <v>4.5100902755075929E-3</v>
      </c>
      <c r="RQ62" s="744">
        <f t="shared" ca="1" si="372"/>
        <v>3.5102090405466503E-2</v>
      </c>
      <c r="RR62" s="744">
        <f t="shared" ca="1" si="373"/>
        <v>8.6193318695639738E-3</v>
      </c>
      <c r="RS62" s="744">
        <f t="shared" ca="1" si="374"/>
        <v>4.1159382393431941E-2</v>
      </c>
      <c r="RT62" s="744">
        <f t="shared" ca="1" si="375"/>
        <v>9.987511398301592E-2</v>
      </c>
      <c r="RU62" s="744">
        <f t="shared" ca="1" si="376"/>
        <v>2.8634287622581328E-2</v>
      </c>
      <c r="RV62" s="744"/>
      <c r="RW62" s="744">
        <f t="shared" ca="1" si="377"/>
        <v>9.6432773212190737E-2</v>
      </c>
      <c r="RX62" s="744">
        <f t="shared" ca="1" si="378"/>
        <v>0.10497921891773529</v>
      </c>
      <c r="RY62" s="744">
        <f t="shared" ca="1" si="379"/>
        <v>8.7135526213145812E-4</v>
      </c>
      <c r="RZ62" s="744">
        <f t="shared" ca="1" si="380"/>
        <v>3.0556803218924726E-2</v>
      </c>
      <c r="SA62" s="744">
        <f t="shared" ca="1" si="381"/>
        <v>0.18462387799205279</v>
      </c>
      <c r="SB62" s="744">
        <f t="shared" ca="1" si="382"/>
        <v>6.2576146194293011E-2</v>
      </c>
      <c r="SC62" s="744">
        <f t="shared" ca="1" si="383"/>
        <v>3.171313045803071E-2</v>
      </c>
      <c r="SD62" s="744">
        <f t="shared" ca="1" si="384"/>
        <v>6.2818976880638852E-2</v>
      </c>
      <c r="SE62" s="744">
        <f t="shared" ca="1" si="385"/>
        <v>0.13152237053884314</v>
      </c>
      <c r="SF62" s="744"/>
      <c r="SG62" s="744">
        <f t="shared" ca="1" si="386"/>
        <v>7.7785217412492141E-2</v>
      </c>
      <c r="SH62" s="744">
        <f t="shared" ca="1" si="387"/>
        <v>9.8524512931208119E-2</v>
      </c>
      <c r="SI62" s="744">
        <f t="shared" ca="1" si="388"/>
        <v>8.3444188466393694E-4</v>
      </c>
      <c r="SJ62" s="744">
        <f t="shared" ca="1" si="389"/>
        <v>3.1735758286377196E-2</v>
      </c>
      <c r="SK62" s="744">
        <f t="shared" ca="1" si="390"/>
        <v>0.11374153281642461</v>
      </c>
      <c r="SL62" s="744">
        <f t="shared" ca="1" si="391"/>
        <v>8.4096958768548388E-3</v>
      </c>
      <c r="SM62" s="744">
        <f t="shared" ca="1" si="392"/>
        <v>2.2603312138530843E-2</v>
      </c>
      <c r="SN62" s="744">
        <f t="shared" ca="1" si="393"/>
        <v>3.8809059379480232E-2</v>
      </c>
      <c r="SO62" s="744">
        <f t="shared" ca="1" si="394"/>
        <v>7.1710680107700195E-4</v>
      </c>
      <c r="SP62" s="100"/>
      <c r="SQ62" s="114"/>
      <c r="SR62" s="806">
        <f t="shared" ca="1" si="431"/>
        <v>0.20353557212747753</v>
      </c>
      <c r="SS62" s="806">
        <f t="shared" ca="1" si="432"/>
        <v>0.60865215848560417</v>
      </c>
      <c r="ST62" s="806">
        <f t="shared" ca="1" si="433"/>
        <v>0.99538241650483694</v>
      </c>
      <c r="SU62" s="806">
        <f t="shared" ca="1" si="434"/>
        <v>0.79462894903634373</v>
      </c>
      <c r="SV62" s="806">
        <f t="shared" ca="1" si="435"/>
        <v>0.52008885816257877</v>
      </c>
      <c r="SW62" s="806">
        <f t="shared" ca="1" si="436"/>
        <v>0.12420922150898735</v>
      </c>
      <c r="SX62" s="806">
        <f t="shared" ca="1" si="437"/>
        <v>0.46189742587794269</v>
      </c>
      <c r="SY62" s="806">
        <f t="shared" ca="1" si="438"/>
        <v>0.47963999878118163</v>
      </c>
      <c r="SZ62" s="806">
        <f t="shared" ca="1" si="439"/>
        <v>0.77471083358017556</v>
      </c>
      <c r="TA62" s="806"/>
      <c r="TB62" s="806">
        <f t="shared" ca="1" si="440"/>
        <v>0.67448254198226831</v>
      </c>
      <c r="TC62" s="806">
        <f t="shared" ca="1" si="441"/>
        <v>0.82786687190938824</v>
      </c>
      <c r="TD62" s="806">
        <f t="shared" ca="1" si="442"/>
        <v>8.073982547431021E-3</v>
      </c>
      <c r="TE62" s="806">
        <f t="shared" ca="1" si="443"/>
        <v>0.11274963700226068</v>
      </c>
      <c r="TF62" s="806">
        <f t="shared" ca="1" si="444"/>
        <v>0.16470439870448772</v>
      </c>
      <c r="TG62" s="806">
        <f t="shared" ca="1" si="445"/>
        <v>0.12142588429427015</v>
      </c>
      <c r="TH62" s="806">
        <f t="shared" ca="1" si="446"/>
        <v>0.69764195111710325</v>
      </c>
      <c r="TI62" s="806">
        <f t="shared" ca="1" si="447"/>
        <v>0.83579366876013061</v>
      </c>
      <c r="TJ62" s="806">
        <f t="shared" ca="1" si="448"/>
        <v>0.16008605980536766</v>
      </c>
      <c r="TK62" s="806"/>
      <c r="TL62" s="806">
        <f t="shared" ca="1" si="449"/>
        <v>0.6650738795883574</v>
      </c>
      <c r="TM62" s="806">
        <f t="shared" ca="1" si="450"/>
        <v>0.94958153024492353</v>
      </c>
      <c r="TN62" s="806">
        <f t="shared" ca="1" si="451"/>
        <v>1.3835206066823674E-2</v>
      </c>
      <c r="TO62" s="806">
        <f t="shared" ca="1" si="452"/>
        <v>0.76390233020236431</v>
      </c>
      <c r="TP62" s="806">
        <f t="shared" ca="1" si="453"/>
        <v>0.86628358767021507</v>
      </c>
      <c r="TQ62" s="806">
        <f t="shared" ca="1" si="454"/>
        <v>0.88154905767121083</v>
      </c>
      <c r="TR62" s="806">
        <f t="shared" ca="1" si="455"/>
        <v>0.53753017956611293</v>
      </c>
      <c r="TS62" s="806">
        <f t="shared" ca="1" si="456"/>
        <v>0.52569354928351208</v>
      </c>
      <c r="TT62" s="806">
        <f t="shared" ca="1" si="457"/>
        <v>0.73530371536887251</v>
      </c>
      <c r="TU62" s="806"/>
      <c r="TV62" s="806">
        <f t="shared" ca="1" si="458"/>
        <v>0.53646612656588077</v>
      </c>
      <c r="TW62" s="806">
        <f t="shared" ca="1" si="459"/>
        <v>0.89119597878858614</v>
      </c>
      <c r="TX62" s="806">
        <f t="shared" ca="1" si="460"/>
        <v>1.3249102779128656E-2</v>
      </c>
      <c r="TY62" s="806">
        <f t="shared" ca="1" si="461"/>
        <v>0.79337552204047701</v>
      </c>
      <c r="TZ62" s="806">
        <f t="shared" ca="1" si="462"/>
        <v>0.53369273891843605</v>
      </c>
      <c r="UA62" s="806">
        <f t="shared" ca="1" si="463"/>
        <v>0.11847261179243045</v>
      </c>
      <c r="UB62" s="806">
        <f t="shared" ca="1" si="464"/>
        <v>0.38312087949477885</v>
      </c>
      <c r="UC62" s="806">
        <f t="shared" ca="1" si="465"/>
        <v>0.32476925258299527</v>
      </c>
      <c r="UD62" s="1439">
        <f t="shared" ca="1" si="466"/>
        <v>4.0091377078128243E-3</v>
      </c>
    </row>
    <row r="63" spans="3:551" s="7" customFormat="1" x14ac:dyDescent="0.25">
      <c r="C63" s="21"/>
      <c r="D63" s="1308">
        <v>44038</v>
      </c>
      <c r="E63" s="233">
        <v>0</v>
      </c>
      <c r="F63" s="1392">
        <v>0</v>
      </c>
      <c r="G63" s="1392">
        <v>0</v>
      </c>
      <c r="H63" s="1392">
        <v>0</v>
      </c>
      <c r="I63" s="1392">
        <v>0</v>
      </c>
      <c r="J63" s="1392">
        <v>0</v>
      </c>
      <c r="K63" s="1392">
        <v>0</v>
      </c>
      <c r="L63" s="1392">
        <v>0</v>
      </c>
      <c r="M63" s="1392">
        <v>0</v>
      </c>
      <c r="N63" s="1392">
        <v>0</v>
      </c>
      <c r="O63" s="1392">
        <v>0</v>
      </c>
      <c r="P63" s="1392">
        <v>0</v>
      </c>
      <c r="Q63" s="1392">
        <v>0</v>
      </c>
      <c r="R63" s="1392">
        <v>0</v>
      </c>
      <c r="S63" s="1392">
        <v>0</v>
      </c>
      <c r="T63" s="1392">
        <v>0</v>
      </c>
      <c r="U63" s="1392">
        <v>0</v>
      </c>
      <c r="V63" s="1392">
        <v>0</v>
      </c>
      <c r="W63" s="1392">
        <v>0</v>
      </c>
      <c r="X63" s="1392">
        <v>0</v>
      </c>
      <c r="Y63" s="1392">
        <v>0</v>
      </c>
      <c r="Z63" s="1392">
        <v>0</v>
      </c>
      <c r="AA63" s="1392">
        <v>0</v>
      </c>
      <c r="AB63" s="1392">
        <v>0</v>
      </c>
      <c r="AC63" s="1392">
        <v>0</v>
      </c>
      <c r="AD63" s="1392">
        <v>0</v>
      </c>
      <c r="AE63" s="1392">
        <v>0</v>
      </c>
      <c r="AF63" s="1392">
        <v>0</v>
      </c>
      <c r="AG63" s="1392">
        <v>0</v>
      </c>
      <c r="AH63" s="1392">
        <v>0</v>
      </c>
      <c r="AI63" s="1392">
        <v>0</v>
      </c>
      <c r="AJ63" s="1392">
        <v>0</v>
      </c>
      <c r="AK63" s="1392">
        <v>0</v>
      </c>
      <c r="AL63" s="1392">
        <v>0</v>
      </c>
      <c r="AM63" s="1392">
        <v>0</v>
      </c>
      <c r="AN63" s="1392">
        <v>0</v>
      </c>
      <c r="AO63" s="1392">
        <v>0</v>
      </c>
      <c r="AP63" s="1392">
        <v>0</v>
      </c>
      <c r="AQ63" s="1392">
        <v>0</v>
      </c>
      <c r="AR63" s="1392">
        <v>0</v>
      </c>
      <c r="AS63" s="1392">
        <v>0</v>
      </c>
      <c r="AT63" s="1392">
        <v>0</v>
      </c>
      <c r="AU63" s="1392">
        <v>0</v>
      </c>
      <c r="AV63" s="1392">
        <v>0</v>
      </c>
      <c r="AW63" s="1392">
        <v>0</v>
      </c>
      <c r="AX63" s="1392">
        <v>0</v>
      </c>
      <c r="AY63" s="1392">
        <v>0</v>
      </c>
      <c r="AZ63" s="1392">
        <v>0</v>
      </c>
      <c r="BA63" s="1392">
        <v>0</v>
      </c>
      <c r="BB63" s="1392">
        <v>0</v>
      </c>
      <c r="BC63" s="1392">
        <v>0</v>
      </c>
      <c r="BD63" s="1392">
        <v>0</v>
      </c>
      <c r="BE63" s="1392">
        <v>0</v>
      </c>
      <c r="BF63" s="1392">
        <v>0</v>
      </c>
      <c r="BG63" s="1392">
        <v>0</v>
      </c>
      <c r="BH63" s="1392">
        <v>0</v>
      </c>
      <c r="BI63" s="1392">
        <v>0</v>
      </c>
      <c r="BJ63" s="1392">
        <v>0</v>
      </c>
      <c r="BK63" s="1392">
        <v>0</v>
      </c>
      <c r="BL63" s="1392">
        <v>0</v>
      </c>
      <c r="BM63" s="1392">
        <v>0</v>
      </c>
      <c r="BN63" s="1392">
        <v>0</v>
      </c>
      <c r="BO63" s="1392">
        <v>0</v>
      </c>
      <c r="BP63" s="1392">
        <v>0</v>
      </c>
      <c r="BQ63" s="1392">
        <v>0</v>
      </c>
      <c r="BR63" s="1392">
        <v>0</v>
      </c>
      <c r="BS63" s="1392">
        <v>0</v>
      </c>
      <c r="BT63" s="1392">
        <v>0</v>
      </c>
      <c r="BU63" s="1392">
        <v>0</v>
      </c>
      <c r="BV63" s="1392">
        <v>0</v>
      </c>
      <c r="BW63" s="1392">
        <v>0</v>
      </c>
      <c r="BX63" s="1392">
        <v>0</v>
      </c>
      <c r="BY63" s="1392">
        <v>0</v>
      </c>
      <c r="BZ63" s="1392">
        <v>0</v>
      </c>
      <c r="CA63" s="1392">
        <v>0</v>
      </c>
      <c r="CB63" s="1392">
        <v>0</v>
      </c>
      <c r="CC63" s="1392">
        <v>0</v>
      </c>
      <c r="CD63" s="1392">
        <v>0</v>
      </c>
      <c r="CE63" s="1392">
        <v>0</v>
      </c>
      <c r="CF63" s="1392">
        <v>0</v>
      </c>
      <c r="CG63" s="1392">
        <v>0</v>
      </c>
      <c r="CH63" s="1392">
        <v>0</v>
      </c>
      <c r="CI63" s="1392">
        <v>0</v>
      </c>
      <c r="CJ63" s="1392">
        <v>0</v>
      </c>
      <c r="CK63" s="1392">
        <v>0</v>
      </c>
      <c r="CL63" s="1392">
        <v>0</v>
      </c>
      <c r="CM63" s="1392">
        <v>0</v>
      </c>
      <c r="CN63" s="1392">
        <v>0</v>
      </c>
      <c r="CO63" s="1392">
        <v>0</v>
      </c>
      <c r="CP63" s="1392">
        <v>0</v>
      </c>
      <c r="CQ63" s="1392">
        <v>0</v>
      </c>
      <c r="CR63" s="1392">
        <v>0</v>
      </c>
      <c r="CS63" s="1392">
        <v>0</v>
      </c>
      <c r="CT63" s="1392">
        <v>0</v>
      </c>
      <c r="CU63" s="1392">
        <v>0</v>
      </c>
      <c r="CV63" s="1392">
        <v>0</v>
      </c>
      <c r="CW63" s="1392">
        <v>0</v>
      </c>
      <c r="CX63" s="1392">
        <v>0</v>
      </c>
      <c r="CY63" s="1392">
        <v>0</v>
      </c>
      <c r="CZ63" s="1392">
        <v>0</v>
      </c>
      <c r="DA63" s="1392">
        <v>0</v>
      </c>
      <c r="DB63" s="1392">
        <v>0</v>
      </c>
      <c r="DC63" s="1392">
        <v>0</v>
      </c>
      <c r="DD63" s="1392">
        <v>0</v>
      </c>
      <c r="DE63" s="1392">
        <v>0</v>
      </c>
      <c r="DF63" s="1392">
        <v>0</v>
      </c>
      <c r="DG63" s="1392">
        <v>0</v>
      </c>
      <c r="DH63" s="1392">
        <v>0</v>
      </c>
      <c r="DI63" s="1392">
        <v>0</v>
      </c>
      <c r="DJ63" s="1392">
        <v>0</v>
      </c>
      <c r="DK63" s="1392">
        <v>0</v>
      </c>
      <c r="DL63" s="1392">
        <v>0</v>
      </c>
      <c r="DM63" s="1392">
        <v>0</v>
      </c>
      <c r="DN63" s="1392">
        <v>0</v>
      </c>
      <c r="DO63" s="1392">
        <v>0</v>
      </c>
      <c r="DP63" s="1392">
        <v>0</v>
      </c>
      <c r="DQ63" s="1392">
        <v>0</v>
      </c>
      <c r="DR63" s="1392">
        <v>0</v>
      </c>
      <c r="DS63" s="1392">
        <v>0</v>
      </c>
      <c r="DT63" s="1392">
        <v>0</v>
      </c>
      <c r="DU63" s="1392">
        <v>0</v>
      </c>
      <c r="DV63" s="1392">
        <v>0</v>
      </c>
      <c r="DW63" s="1392">
        <v>0</v>
      </c>
      <c r="DX63" s="1392">
        <v>0</v>
      </c>
      <c r="DY63" s="1392">
        <v>0</v>
      </c>
      <c r="DZ63" s="1392">
        <v>0</v>
      </c>
      <c r="EA63" s="1392">
        <v>0</v>
      </c>
      <c r="EB63" s="1392">
        <v>0</v>
      </c>
      <c r="EC63" s="1392">
        <v>0</v>
      </c>
      <c r="ED63" s="1392">
        <v>0</v>
      </c>
      <c r="EE63" s="1392">
        <v>0</v>
      </c>
      <c r="EF63" s="1392">
        <v>0</v>
      </c>
      <c r="EG63" s="1392">
        <v>0</v>
      </c>
      <c r="EH63" s="1392">
        <v>0</v>
      </c>
      <c r="EI63" s="1392">
        <v>0</v>
      </c>
      <c r="EJ63" s="1392">
        <v>0</v>
      </c>
      <c r="EK63" s="1392">
        <v>0</v>
      </c>
      <c r="EL63" s="1392">
        <v>0</v>
      </c>
      <c r="EM63" s="1392">
        <v>0</v>
      </c>
      <c r="EN63" s="1392">
        <v>0</v>
      </c>
      <c r="EO63" s="1392">
        <v>0</v>
      </c>
      <c r="EP63" s="1392">
        <v>0</v>
      </c>
      <c r="EQ63" s="1392">
        <v>0</v>
      </c>
      <c r="ER63" s="1393">
        <v>0</v>
      </c>
      <c r="ES63" s="377"/>
      <c r="ET63" s="316">
        <f t="shared" si="335"/>
        <v>1</v>
      </c>
      <c r="EU63" s="1392">
        <f t="shared" si="20"/>
        <v>1</v>
      </c>
      <c r="EV63" s="1392">
        <f t="shared" si="21"/>
        <v>1</v>
      </c>
      <c r="EW63" s="1392">
        <f t="shared" si="22"/>
        <v>1</v>
      </c>
      <c r="EX63" s="1392">
        <f t="shared" si="23"/>
        <v>1</v>
      </c>
      <c r="EY63" s="1392">
        <f t="shared" si="24"/>
        <v>1</v>
      </c>
      <c r="EZ63" s="1392">
        <f t="shared" si="25"/>
        <v>1</v>
      </c>
      <c r="FA63" s="1392">
        <f t="shared" si="26"/>
        <v>1</v>
      </c>
      <c r="FB63" s="1392">
        <f t="shared" si="27"/>
        <v>1</v>
      </c>
      <c r="FC63" s="1392">
        <f t="shared" si="28"/>
        <v>1</v>
      </c>
      <c r="FD63" s="1392">
        <f t="shared" si="29"/>
        <v>1</v>
      </c>
      <c r="FE63" s="1392">
        <f t="shared" si="30"/>
        <v>1</v>
      </c>
      <c r="FF63" s="1392">
        <f t="shared" si="31"/>
        <v>1</v>
      </c>
      <c r="FG63" s="1392">
        <f t="shared" si="32"/>
        <v>1</v>
      </c>
      <c r="FH63" s="1392">
        <f t="shared" si="33"/>
        <v>1</v>
      </c>
      <c r="FI63" s="1392">
        <f t="shared" si="34"/>
        <v>1</v>
      </c>
      <c r="FJ63" s="1392">
        <f t="shared" si="35"/>
        <v>1</v>
      </c>
      <c r="FK63" s="1392">
        <f t="shared" si="36"/>
        <v>1</v>
      </c>
      <c r="FL63" s="1392">
        <f t="shared" si="37"/>
        <v>1</v>
      </c>
      <c r="FM63" s="1392">
        <f t="shared" si="38"/>
        <v>1</v>
      </c>
      <c r="FN63" s="1392">
        <f t="shared" si="39"/>
        <v>1</v>
      </c>
      <c r="FO63" s="1392">
        <f t="shared" si="40"/>
        <v>1</v>
      </c>
      <c r="FP63" s="1392">
        <f t="shared" si="41"/>
        <v>1</v>
      </c>
      <c r="FQ63" s="1392">
        <f t="shared" si="42"/>
        <v>1</v>
      </c>
      <c r="FR63" s="1392">
        <f t="shared" si="43"/>
        <v>1</v>
      </c>
      <c r="FS63" s="1392">
        <f t="shared" si="44"/>
        <v>1</v>
      </c>
      <c r="FT63" s="1392">
        <f t="shared" si="45"/>
        <v>1</v>
      </c>
      <c r="FU63" s="1392">
        <f t="shared" si="46"/>
        <v>1</v>
      </c>
      <c r="FV63" s="1392">
        <f t="shared" si="47"/>
        <v>1</v>
      </c>
      <c r="FW63" s="1392">
        <f t="shared" si="48"/>
        <v>1</v>
      </c>
      <c r="FX63" s="1392">
        <f t="shared" si="49"/>
        <v>1</v>
      </c>
      <c r="FY63" s="1392">
        <f t="shared" si="50"/>
        <v>1</v>
      </c>
      <c r="FZ63" s="1392">
        <f t="shared" si="51"/>
        <v>1</v>
      </c>
      <c r="GA63" s="1392">
        <f t="shared" si="52"/>
        <v>1</v>
      </c>
      <c r="GB63" s="1392">
        <f t="shared" si="53"/>
        <v>1</v>
      </c>
      <c r="GC63" s="1392">
        <f t="shared" si="54"/>
        <v>1</v>
      </c>
      <c r="GD63" s="1392">
        <f t="shared" si="55"/>
        <v>1</v>
      </c>
      <c r="GE63" s="1392">
        <f t="shared" si="56"/>
        <v>1</v>
      </c>
      <c r="GF63" s="1392">
        <f t="shared" si="57"/>
        <v>1</v>
      </c>
      <c r="GG63" s="1392">
        <f t="shared" si="58"/>
        <v>1</v>
      </c>
      <c r="GH63" s="1392">
        <f t="shared" si="59"/>
        <v>1</v>
      </c>
      <c r="GI63" s="1392">
        <f t="shared" si="60"/>
        <v>1</v>
      </c>
      <c r="GJ63" s="1392">
        <f t="shared" si="61"/>
        <v>1</v>
      </c>
      <c r="GK63" s="1392">
        <f t="shared" si="62"/>
        <v>1</v>
      </c>
      <c r="GL63" s="1392">
        <f t="shared" si="63"/>
        <v>1</v>
      </c>
      <c r="GM63" s="1392">
        <f t="shared" si="64"/>
        <v>1</v>
      </c>
      <c r="GN63" s="1392">
        <f t="shared" si="65"/>
        <v>1</v>
      </c>
      <c r="GO63" s="1392">
        <f t="shared" si="66"/>
        <v>1</v>
      </c>
      <c r="GP63" s="1392">
        <f t="shared" si="67"/>
        <v>1</v>
      </c>
      <c r="GQ63" s="1392">
        <f t="shared" si="68"/>
        <v>1</v>
      </c>
      <c r="GR63" s="1392">
        <f t="shared" si="69"/>
        <v>1</v>
      </c>
      <c r="GS63" s="1392">
        <f t="shared" si="70"/>
        <v>1</v>
      </c>
      <c r="GT63" s="1392">
        <f t="shared" si="71"/>
        <v>1</v>
      </c>
      <c r="GU63" s="1392">
        <f t="shared" si="72"/>
        <v>1</v>
      </c>
      <c r="GV63" s="1392">
        <f t="shared" si="73"/>
        <v>1</v>
      </c>
      <c r="GW63" s="1392">
        <f t="shared" si="74"/>
        <v>1</v>
      </c>
      <c r="GX63" s="1392">
        <f t="shared" si="75"/>
        <v>1</v>
      </c>
      <c r="GY63" s="1392">
        <f t="shared" si="76"/>
        <v>1</v>
      </c>
      <c r="GZ63" s="1392">
        <f t="shared" si="77"/>
        <v>1</v>
      </c>
      <c r="HA63" s="1392">
        <f t="shared" si="78"/>
        <v>1</v>
      </c>
      <c r="HB63" s="1392">
        <f t="shared" si="79"/>
        <v>1</v>
      </c>
      <c r="HC63" s="1392">
        <f t="shared" si="80"/>
        <v>1</v>
      </c>
      <c r="HD63" s="1392">
        <f t="shared" si="81"/>
        <v>1</v>
      </c>
      <c r="HE63" s="1392">
        <f t="shared" si="82"/>
        <v>1</v>
      </c>
      <c r="HF63" s="1392">
        <f t="shared" si="83"/>
        <v>1</v>
      </c>
      <c r="HG63" s="1392">
        <f t="shared" si="84"/>
        <v>1</v>
      </c>
      <c r="HH63" s="1392">
        <f t="shared" si="85"/>
        <v>1</v>
      </c>
      <c r="HI63" s="1392">
        <f t="shared" si="86"/>
        <v>1</v>
      </c>
      <c r="HJ63" s="1392">
        <f t="shared" si="87"/>
        <v>1</v>
      </c>
      <c r="HK63" s="1392">
        <f t="shared" si="88"/>
        <v>1</v>
      </c>
      <c r="HL63" s="1392">
        <f t="shared" si="89"/>
        <v>1</v>
      </c>
      <c r="HM63" s="1392">
        <f t="shared" si="90"/>
        <v>1</v>
      </c>
      <c r="HN63" s="1392">
        <f t="shared" si="91"/>
        <v>1</v>
      </c>
      <c r="HO63" s="1392">
        <f t="shared" si="92"/>
        <v>1</v>
      </c>
      <c r="HP63" s="1392">
        <f t="shared" si="93"/>
        <v>1</v>
      </c>
      <c r="HQ63" s="1392">
        <f t="shared" si="94"/>
        <v>1</v>
      </c>
      <c r="HR63" s="1392">
        <f t="shared" si="95"/>
        <v>1</v>
      </c>
      <c r="HS63" s="1392">
        <f t="shared" si="96"/>
        <v>1</v>
      </c>
      <c r="HT63" s="1392">
        <f t="shared" si="97"/>
        <v>1</v>
      </c>
      <c r="HU63" s="1392">
        <f t="shared" si="98"/>
        <v>1</v>
      </c>
      <c r="HV63" s="1392">
        <f t="shared" si="99"/>
        <v>1</v>
      </c>
      <c r="HW63" s="1392">
        <f t="shared" si="100"/>
        <v>1</v>
      </c>
      <c r="HX63" s="1392">
        <f t="shared" si="101"/>
        <v>1</v>
      </c>
      <c r="HY63" s="1392">
        <f t="shared" si="102"/>
        <v>1</v>
      </c>
      <c r="HZ63" s="1392">
        <f t="shared" si="103"/>
        <v>1</v>
      </c>
      <c r="IA63" s="1392">
        <f t="shared" si="104"/>
        <v>1</v>
      </c>
      <c r="IB63" s="1392">
        <f t="shared" si="105"/>
        <v>1</v>
      </c>
      <c r="IC63" s="1392">
        <f t="shared" si="106"/>
        <v>1</v>
      </c>
      <c r="ID63" s="1392">
        <f t="shared" si="107"/>
        <v>1</v>
      </c>
      <c r="IE63" s="1392">
        <f t="shared" si="108"/>
        <v>1</v>
      </c>
      <c r="IF63" s="1392">
        <f t="shared" si="109"/>
        <v>1</v>
      </c>
      <c r="IG63" s="1392">
        <f t="shared" si="110"/>
        <v>1</v>
      </c>
      <c r="IH63" s="1392">
        <f t="shared" si="111"/>
        <v>1</v>
      </c>
      <c r="II63" s="1392">
        <f t="shared" si="112"/>
        <v>1</v>
      </c>
      <c r="IJ63" s="1392">
        <f t="shared" si="113"/>
        <v>1</v>
      </c>
      <c r="IK63" s="1392">
        <f t="shared" si="114"/>
        <v>1</v>
      </c>
      <c r="IL63" s="1392">
        <f t="shared" si="115"/>
        <v>1</v>
      </c>
      <c r="IM63" s="1392">
        <f t="shared" si="116"/>
        <v>1</v>
      </c>
      <c r="IN63" s="1392">
        <f t="shared" si="117"/>
        <v>1</v>
      </c>
      <c r="IO63" s="1392">
        <f t="shared" si="118"/>
        <v>1</v>
      </c>
      <c r="IP63" s="1392">
        <f t="shared" si="119"/>
        <v>1</v>
      </c>
      <c r="IQ63" s="1392">
        <f t="shared" si="120"/>
        <v>1</v>
      </c>
      <c r="IR63" s="1392">
        <f t="shared" si="121"/>
        <v>1</v>
      </c>
      <c r="IS63" s="1392">
        <f t="shared" si="122"/>
        <v>1</v>
      </c>
      <c r="IT63" s="1392">
        <f t="shared" si="123"/>
        <v>1</v>
      </c>
      <c r="IU63" s="1392">
        <f t="shared" si="124"/>
        <v>1</v>
      </c>
      <c r="IV63" s="1392">
        <f t="shared" si="125"/>
        <v>1</v>
      </c>
      <c r="IW63" s="1392">
        <f t="shared" si="126"/>
        <v>1</v>
      </c>
      <c r="IX63" s="1392">
        <f t="shared" si="127"/>
        <v>1</v>
      </c>
      <c r="IY63" s="1392">
        <f t="shared" si="128"/>
        <v>1</v>
      </c>
      <c r="IZ63" s="1392">
        <f t="shared" si="129"/>
        <v>1</v>
      </c>
      <c r="JA63" s="1392">
        <f t="shared" si="130"/>
        <v>1</v>
      </c>
      <c r="JB63" s="1392">
        <f t="shared" si="131"/>
        <v>1</v>
      </c>
      <c r="JC63" s="1392">
        <f t="shared" si="132"/>
        <v>1</v>
      </c>
      <c r="JD63" s="1392">
        <f t="shared" si="133"/>
        <v>1</v>
      </c>
      <c r="JE63" s="1392">
        <f t="shared" si="134"/>
        <v>1</v>
      </c>
      <c r="JF63" s="1392">
        <f t="shared" si="135"/>
        <v>1</v>
      </c>
      <c r="JG63" s="1392">
        <f t="shared" si="136"/>
        <v>1</v>
      </c>
      <c r="JH63" s="1392">
        <f t="shared" si="137"/>
        <v>1</v>
      </c>
      <c r="JI63" s="1392">
        <f t="shared" si="138"/>
        <v>1</v>
      </c>
      <c r="JJ63" s="1392">
        <f t="shared" si="139"/>
        <v>1</v>
      </c>
      <c r="JK63" s="1392">
        <f t="shared" si="140"/>
        <v>1</v>
      </c>
      <c r="JL63" s="1392">
        <f t="shared" si="141"/>
        <v>1</v>
      </c>
      <c r="JM63" s="1392">
        <f t="shared" si="142"/>
        <v>1</v>
      </c>
      <c r="JN63" s="1392">
        <f t="shared" si="143"/>
        <v>1</v>
      </c>
      <c r="JO63" s="1392">
        <f t="shared" si="144"/>
        <v>1</v>
      </c>
      <c r="JP63" s="1392">
        <f t="shared" si="145"/>
        <v>1</v>
      </c>
      <c r="JQ63" s="1392">
        <f t="shared" si="146"/>
        <v>1</v>
      </c>
      <c r="JR63" s="1392">
        <f t="shared" si="147"/>
        <v>1</v>
      </c>
      <c r="JS63" s="1392">
        <f t="shared" si="148"/>
        <v>1</v>
      </c>
      <c r="JT63" s="1392">
        <f t="shared" si="149"/>
        <v>1</v>
      </c>
      <c r="JU63" s="1392">
        <f t="shared" si="150"/>
        <v>1</v>
      </c>
      <c r="JV63" s="1392">
        <f t="shared" si="151"/>
        <v>1</v>
      </c>
      <c r="JW63" s="1392">
        <f t="shared" si="152"/>
        <v>1</v>
      </c>
      <c r="JX63" s="1392">
        <f t="shared" si="153"/>
        <v>1</v>
      </c>
      <c r="JY63" s="1392">
        <f t="shared" si="154"/>
        <v>1</v>
      </c>
      <c r="JZ63" s="1392">
        <f t="shared" si="155"/>
        <v>1</v>
      </c>
      <c r="KA63" s="1392">
        <f t="shared" si="156"/>
        <v>1</v>
      </c>
      <c r="KB63" s="1392">
        <f t="shared" si="157"/>
        <v>1</v>
      </c>
      <c r="KC63" s="1392">
        <f t="shared" si="158"/>
        <v>1</v>
      </c>
      <c r="KD63" s="1392">
        <f t="shared" si="159"/>
        <v>1</v>
      </c>
      <c r="KE63" s="1392">
        <f t="shared" si="160"/>
        <v>1</v>
      </c>
      <c r="KF63" s="1392">
        <f t="shared" si="161"/>
        <v>1</v>
      </c>
      <c r="KG63" s="1399">
        <f t="shared" si="162"/>
        <v>1</v>
      </c>
      <c r="KH63" s="1406">
        <f t="shared" si="163"/>
        <v>144</v>
      </c>
      <c r="KI63" s="377"/>
      <c r="KJ63" s="1444">
        <f t="shared" si="164"/>
        <v>19.879253198304003</v>
      </c>
      <c r="KK63" s="49">
        <f t="shared" ca="1" si="165"/>
        <v>-67.236298507645657</v>
      </c>
      <c r="KL63" s="377"/>
      <c r="KM63" s="908">
        <f t="shared" si="166"/>
        <v>6.9444444444444441E-3</v>
      </c>
      <c r="KN63" s="1411">
        <f t="shared" si="167"/>
        <v>6.9444444444444441E-3</v>
      </c>
      <c r="KO63" s="1411">
        <f t="shared" si="168"/>
        <v>6.9444444444444441E-3</v>
      </c>
      <c r="KP63" s="1411">
        <f t="shared" si="169"/>
        <v>6.9444444444444441E-3</v>
      </c>
      <c r="KQ63" s="1411">
        <f t="shared" si="170"/>
        <v>6.9444444444444441E-3</v>
      </c>
      <c r="KR63" s="1411">
        <f t="shared" si="171"/>
        <v>6.9444444444444441E-3</v>
      </c>
      <c r="KS63" s="1411">
        <f t="shared" si="172"/>
        <v>6.9444444444444441E-3</v>
      </c>
      <c r="KT63" s="1411">
        <f t="shared" si="173"/>
        <v>6.9444444444444441E-3</v>
      </c>
      <c r="KU63" s="1411">
        <f t="shared" si="174"/>
        <v>6.9444444444444441E-3</v>
      </c>
      <c r="KV63" s="1411">
        <f t="shared" si="175"/>
        <v>6.9444444444444441E-3</v>
      </c>
      <c r="KW63" s="1411">
        <f t="shared" si="176"/>
        <v>6.9444444444444441E-3</v>
      </c>
      <c r="KX63" s="1411">
        <f t="shared" si="177"/>
        <v>6.9444444444444441E-3</v>
      </c>
      <c r="KY63" s="1411">
        <f t="shared" si="178"/>
        <v>6.9444444444444441E-3</v>
      </c>
      <c r="KZ63" s="1411">
        <f t="shared" si="179"/>
        <v>6.9444444444444441E-3</v>
      </c>
      <c r="LA63" s="1411">
        <f t="shared" si="180"/>
        <v>6.9444444444444441E-3</v>
      </c>
      <c r="LB63" s="1411">
        <f t="shared" si="181"/>
        <v>6.9444444444444441E-3</v>
      </c>
      <c r="LC63" s="1411">
        <f t="shared" si="182"/>
        <v>6.9444444444444441E-3</v>
      </c>
      <c r="LD63" s="1411">
        <f t="shared" si="183"/>
        <v>6.9444444444444441E-3</v>
      </c>
      <c r="LE63" s="1411">
        <f t="shared" si="184"/>
        <v>6.9444444444444441E-3</v>
      </c>
      <c r="LF63" s="1411">
        <f t="shared" si="185"/>
        <v>6.9444444444444441E-3</v>
      </c>
      <c r="LG63" s="1411">
        <f t="shared" si="186"/>
        <v>6.9444444444444441E-3</v>
      </c>
      <c r="LH63" s="1411">
        <f t="shared" si="187"/>
        <v>6.9444444444444441E-3</v>
      </c>
      <c r="LI63" s="1411">
        <f t="shared" si="188"/>
        <v>6.9444444444444441E-3</v>
      </c>
      <c r="LJ63" s="1411">
        <f t="shared" si="189"/>
        <v>6.9444444444444441E-3</v>
      </c>
      <c r="LK63" s="1411">
        <f t="shared" si="190"/>
        <v>6.9444444444444441E-3</v>
      </c>
      <c r="LL63" s="1411">
        <f t="shared" si="191"/>
        <v>6.9444444444444441E-3</v>
      </c>
      <c r="LM63" s="1411">
        <f t="shared" si="192"/>
        <v>6.9444444444444441E-3</v>
      </c>
      <c r="LN63" s="1411">
        <f t="shared" si="193"/>
        <v>6.9444444444444441E-3</v>
      </c>
      <c r="LO63" s="1411">
        <f t="shared" si="194"/>
        <v>6.9444444444444441E-3</v>
      </c>
      <c r="LP63" s="1411">
        <f t="shared" si="195"/>
        <v>6.9444444444444441E-3</v>
      </c>
      <c r="LQ63" s="1411">
        <f t="shared" si="196"/>
        <v>6.9444444444444441E-3</v>
      </c>
      <c r="LR63" s="1411">
        <f t="shared" si="197"/>
        <v>6.9444444444444441E-3</v>
      </c>
      <c r="LS63" s="1411">
        <f t="shared" si="198"/>
        <v>6.9444444444444441E-3</v>
      </c>
      <c r="LT63" s="1411">
        <f t="shared" si="199"/>
        <v>6.9444444444444441E-3</v>
      </c>
      <c r="LU63" s="1411">
        <f t="shared" si="200"/>
        <v>6.9444444444444441E-3</v>
      </c>
      <c r="LV63" s="1411">
        <f t="shared" si="201"/>
        <v>6.9444444444444441E-3</v>
      </c>
      <c r="LW63" s="1411">
        <f t="shared" si="202"/>
        <v>6.9444444444444441E-3</v>
      </c>
      <c r="LX63" s="1411">
        <f t="shared" si="203"/>
        <v>6.9444444444444441E-3</v>
      </c>
      <c r="LY63" s="1411">
        <f t="shared" si="204"/>
        <v>6.9444444444444441E-3</v>
      </c>
      <c r="LZ63" s="1411">
        <f t="shared" si="205"/>
        <v>6.9444444444444441E-3</v>
      </c>
      <c r="MA63" s="1411">
        <f t="shared" si="206"/>
        <v>6.9444444444444441E-3</v>
      </c>
      <c r="MB63" s="1411">
        <f t="shared" si="207"/>
        <v>6.9444444444444441E-3</v>
      </c>
      <c r="MC63" s="1411">
        <f t="shared" si="208"/>
        <v>6.9444444444444441E-3</v>
      </c>
      <c r="MD63" s="1411">
        <f t="shared" si="209"/>
        <v>6.9444444444444441E-3</v>
      </c>
      <c r="ME63" s="1411">
        <f t="shared" si="210"/>
        <v>6.9444444444444441E-3</v>
      </c>
      <c r="MF63" s="1411">
        <f t="shared" si="211"/>
        <v>6.9444444444444441E-3</v>
      </c>
      <c r="MG63" s="1411">
        <f t="shared" si="212"/>
        <v>6.9444444444444441E-3</v>
      </c>
      <c r="MH63" s="1411">
        <f t="shared" si="213"/>
        <v>6.9444444444444441E-3</v>
      </c>
      <c r="MI63" s="1411">
        <f t="shared" si="214"/>
        <v>6.9444444444444441E-3</v>
      </c>
      <c r="MJ63" s="1411">
        <f t="shared" si="215"/>
        <v>6.9444444444444441E-3</v>
      </c>
      <c r="MK63" s="1411">
        <f t="shared" si="216"/>
        <v>6.9444444444444441E-3</v>
      </c>
      <c r="ML63" s="1411">
        <f t="shared" si="217"/>
        <v>6.9444444444444441E-3</v>
      </c>
      <c r="MM63" s="1411">
        <f t="shared" si="218"/>
        <v>6.9444444444444441E-3</v>
      </c>
      <c r="MN63" s="1411">
        <f t="shared" si="219"/>
        <v>6.9444444444444441E-3</v>
      </c>
      <c r="MO63" s="1411">
        <f t="shared" si="220"/>
        <v>6.9444444444444441E-3</v>
      </c>
      <c r="MP63" s="1411">
        <f t="shared" si="221"/>
        <v>6.9444444444444441E-3</v>
      </c>
      <c r="MQ63" s="1411">
        <f t="shared" si="222"/>
        <v>6.9444444444444441E-3</v>
      </c>
      <c r="MR63" s="1411">
        <f t="shared" si="223"/>
        <v>6.9444444444444441E-3</v>
      </c>
      <c r="MS63" s="1411">
        <f t="shared" si="224"/>
        <v>6.9444444444444441E-3</v>
      </c>
      <c r="MT63" s="1411">
        <f t="shared" si="225"/>
        <v>6.9444444444444441E-3</v>
      </c>
      <c r="MU63" s="1411">
        <f t="shared" si="226"/>
        <v>6.9444444444444441E-3</v>
      </c>
      <c r="MV63" s="1411">
        <f t="shared" si="227"/>
        <v>6.9444444444444441E-3</v>
      </c>
      <c r="MW63" s="1411">
        <f t="shared" si="228"/>
        <v>6.9444444444444441E-3</v>
      </c>
      <c r="MX63" s="1411">
        <f t="shared" si="229"/>
        <v>6.9444444444444441E-3</v>
      </c>
      <c r="MY63" s="1411">
        <f t="shared" si="230"/>
        <v>6.9444444444444441E-3</v>
      </c>
      <c r="MZ63" s="1411">
        <f t="shared" si="231"/>
        <v>6.9444444444444441E-3</v>
      </c>
      <c r="NA63" s="1411">
        <f t="shared" si="232"/>
        <v>6.9444444444444441E-3</v>
      </c>
      <c r="NB63" s="1411">
        <f t="shared" si="233"/>
        <v>6.9444444444444441E-3</v>
      </c>
      <c r="NC63" s="1411">
        <f t="shared" si="234"/>
        <v>6.9444444444444441E-3</v>
      </c>
      <c r="ND63" s="1411">
        <f t="shared" si="235"/>
        <v>6.9444444444444441E-3</v>
      </c>
      <c r="NE63" s="1411">
        <f t="shared" si="236"/>
        <v>6.9444444444444441E-3</v>
      </c>
      <c r="NF63" s="1411">
        <f t="shared" si="237"/>
        <v>6.9444444444444441E-3</v>
      </c>
      <c r="NG63" s="1411">
        <f t="shared" si="238"/>
        <v>6.9444444444444441E-3</v>
      </c>
      <c r="NH63" s="1411">
        <f t="shared" si="239"/>
        <v>6.9444444444444441E-3</v>
      </c>
      <c r="NI63" s="1411">
        <f t="shared" si="240"/>
        <v>6.9444444444444441E-3</v>
      </c>
      <c r="NJ63" s="1411">
        <f t="shared" si="241"/>
        <v>6.9444444444444441E-3</v>
      </c>
      <c r="NK63" s="1411">
        <f t="shared" si="242"/>
        <v>6.9444444444444441E-3</v>
      </c>
      <c r="NL63" s="1411">
        <f t="shared" si="243"/>
        <v>6.9444444444444441E-3</v>
      </c>
      <c r="NM63" s="1411">
        <f t="shared" si="244"/>
        <v>6.9444444444444441E-3</v>
      </c>
      <c r="NN63" s="1411">
        <f t="shared" si="245"/>
        <v>6.9444444444444441E-3</v>
      </c>
      <c r="NO63" s="1411">
        <f t="shared" si="246"/>
        <v>6.9444444444444441E-3</v>
      </c>
      <c r="NP63" s="1411">
        <f t="shared" si="247"/>
        <v>6.9444444444444441E-3</v>
      </c>
      <c r="NQ63" s="1411">
        <f t="shared" si="248"/>
        <v>6.9444444444444441E-3</v>
      </c>
      <c r="NR63" s="1411">
        <f t="shared" si="249"/>
        <v>6.9444444444444441E-3</v>
      </c>
      <c r="NS63" s="1411">
        <f t="shared" si="250"/>
        <v>6.9444444444444441E-3</v>
      </c>
      <c r="NT63" s="1411">
        <f t="shared" si="251"/>
        <v>6.9444444444444441E-3</v>
      </c>
      <c r="NU63" s="1411">
        <f t="shared" si="252"/>
        <v>6.9444444444444441E-3</v>
      </c>
      <c r="NV63" s="1411">
        <f t="shared" si="253"/>
        <v>6.9444444444444441E-3</v>
      </c>
      <c r="NW63" s="1411">
        <f t="shared" si="254"/>
        <v>6.9444444444444441E-3</v>
      </c>
      <c r="NX63" s="1411">
        <f t="shared" si="255"/>
        <v>6.9444444444444441E-3</v>
      </c>
      <c r="NY63" s="1411">
        <f t="shared" si="256"/>
        <v>6.9444444444444441E-3</v>
      </c>
      <c r="NZ63" s="1411">
        <f t="shared" si="257"/>
        <v>6.9444444444444441E-3</v>
      </c>
      <c r="OA63" s="1411">
        <f t="shared" si="258"/>
        <v>6.9444444444444441E-3</v>
      </c>
      <c r="OB63" s="1411">
        <f t="shared" si="259"/>
        <v>6.9444444444444441E-3</v>
      </c>
      <c r="OC63" s="1411">
        <f t="shared" si="260"/>
        <v>6.9444444444444441E-3</v>
      </c>
      <c r="OD63" s="1411">
        <f t="shared" si="261"/>
        <v>6.9444444444444441E-3</v>
      </c>
      <c r="OE63" s="1411">
        <f t="shared" si="262"/>
        <v>6.9444444444444441E-3</v>
      </c>
      <c r="OF63" s="1411">
        <f t="shared" si="263"/>
        <v>6.9444444444444441E-3</v>
      </c>
      <c r="OG63" s="1411">
        <f t="shared" si="264"/>
        <v>6.9444444444444441E-3</v>
      </c>
      <c r="OH63" s="1411">
        <f t="shared" si="265"/>
        <v>6.9444444444444441E-3</v>
      </c>
      <c r="OI63" s="1411">
        <f t="shared" si="266"/>
        <v>6.9444444444444441E-3</v>
      </c>
      <c r="OJ63" s="1411">
        <f t="shared" si="267"/>
        <v>6.9444444444444441E-3</v>
      </c>
      <c r="OK63" s="1411">
        <f t="shared" si="268"/>
        <v>6.9444444444444441E-3</v>
      </c>
      <c r="OL63" s="1411">
        <f t="shared" si="269"/>
        <v>6.9444444444444441E-3</v>
      </c>
      <c r="OM63" s="1411">
        <f t="shared" si="270"/>
        <v>6.9444444444444441E-3</v>
      </c>
      <c r="ON63" s="1411">
        <f t="shared" si="271"/>
        <v>6.9444444444444441E-3</v>
      </c>
      <c r="OO63" s="1411">
        <f t="shared" si="272"/>
        <v>6.9444444444444441E-3</v>
      </c>
      <c r="OP63" s="1411">
        <f t="shared" si="273"/>
        <v>6.9444444444444441E-3</v>
      </c>
      <c r="OQ63" s="1411">
        <f t="shared" si="274"/>
        <v>6.9444444444444441E-3</v>
      </c>
      <c r="OR63" s="1411">
        <f t="shared" si="275"/>
        <v>6.9444444444444441E-3</v>
      </c>
      <c r="OS63" s="1411">
        <f t="shared" si="276"/>
        <v>6.9444444444444441E-3</v>
      </c>
      <c r="OT63" s="1411">
        <f t="shared" si="277"/>
        <v>6.9444444444444441E-3</v>
      </c>
      <c r="OU63" s="1411">
        <f t="shared" si="278"/>
        <v>6.9444444444444441E-3</v>
      </c>
      <c r="OV63" s="1411">
        <f t="shared" si="279"/>
        <v>6.9444444444444441E-3</v>
      </c>
      <c r="OW63" s="1411">
        <f t="shared" si="280"/>
        <v>6.9444444444444441E-3</v>
      </c>
      <c r="OX63" s="1411">
        <f t="shared" si="281"/>
        <v>6.9444444444444441E-3</v>
      </c>
      <c r="OY63" s="1411">
        <f t="shared" si="282"/>
        <v>6.9444444444444441E-3</v>
      </c>
      <c r="OZ63" s="1411">
        <f t="shared" si="283"/>
        <v>6.9444444444444441E-3</v>
      </c>
      <c r="PA63" s="1411">
        <f t="shared" si="284"/>
        <v>6.9444444444444441E-3</v>
      </c>
      <c r="PB63" s="1411">
        <f t="shared" si="285"/>
        <v>6.9444444444444441E-3</v>
      </c>
      <c r="PC63" s="1411">
        <f t="shared" si="286"/>
        <v>6.9444444444444441E-3</v>
      </c>
      <c r="PD63" s="1411">
        <f t="shared" si="287"/>
        <v>6.9444444444444441E-3</v>
      </c>
      <c r="PE63" s="1411">
        <f t="shared" si="288"/>
        <v>6.9444444444444441E-3</v>
      </c>
      <c r="PF63" s="1411">
        <f t="shared" si="289"/>
        <v>6.9444444444444441E-3</v>
      </c>
      <c r="PG63" s="1411">
        <f t="shared" si="290"/>
        <v>6.9444444444444441E-3</v>
      </c>
      <c r="PH63" s="1411">
        <f t="shared" si="291"/>
        <v>6.9444444444444441E-3</v>
      </c>
      <c r="PI63" s="1411">
        <f t="shared" si="292"/>
        <v>6.9444444444444441E-3</v>
      </c>
      <c r="PJ63" s="1411">
        <f t="shared" si="293"/>
        <v>6.9444444444444441E-3</v>
      </c>
      <c r="PK63" s="1411">
        <f t="shared" si="294"/>
        <v>6.9444444444444441E-3</v>
      </c>
      <c r="PL63" s="1411">
        <f t="shared" si="295"/>
        <v>6.9444444444444441E-3</v>
      </c>
      <c r="PM63" s="1411">
        <f t="shared" si="296"/>
        <v>6.9444444444444441E-3</v>
      </c>
      <c r="PN63" s="1411">
        <f t="shared" si="297"/>
        <v>6.9444444444444441E-3</v>
      </c>
      <c r="PO63" s="1411">
        <f t="shared" si="298"/>
        <v>6.9444444444444441E-3</v>
      </c>
      <c r="PP63" s="1411">
        <f t="shared" si="299"/>
        <v>6.9444444444444441E-3</v>
      </c>
      <c r="PQ63" s="1411">
        <f t="shared" si="300"/>
        <v>6.9444444444444441E-3</v>
      </c>
      <c r="PR63" s="1411">
        <f t="shared" si="301"/>
        <v>6.9444444444444441E-3</v>
      </c>
      <c r="PS63" s="1411">
        <f t="shared" si="302"/>
        <v>6.9444444444444441E-3</v>
      </c>
      <c r="PT63" s="1411">
        <f t="shared" si="303"/>
        <v>6.9444444444444441E-3</v>
      </c>
      <c r="PU63" s="1411">
        <f t="shared" si="304"/>
        <v>6.9444444444444441E-3</v>
      </c>
      <c r="PV63" s="1411">
        <f t="shared" si="305"/>
        <v>6.9444444444444441E-3</v>
      </c>
      <c r="PW63" s="1411">
        <f t="shared" si="306"/>
        <v>6.9444444444444441E-3</v>
      </c>
      <c r="PX63" s="1411">
        <f t="shared" si="307"/>
        <v>6.9444444444444441E-3</v>
      </c>
      <c r="PY63" s="1411">
        <f t="shared" si="308"/>
        <v>6.9444444444444441E-3</v>
      </c>
      <c r="PZ63" s="1412">
        <f t="shared" si="309"/>
        <v>6.9444444444444441E-3</v>
      </c>
      <c r="QB63" s="33" t="s">
        <v>1072</v>
      </c>
      <c r="QC63" s="1432">
        <f t="shared" si="336"/>
        <v>0.33333333333333309</v>
      </c>
      <c r="QD63" s="744">
        <f t="shared" si="337"/>
        <v>0.33333333333333309</v>
      </c>
      <c r="QE63" s="1068">
        <f t="shared" si="338"/>
        <v>0.33333333333333309</v>
      </c>
      <c r="QF63" s="744">
        <f t="shared" si="339"/>
        <v>0.33333333333333309</v>
      </c>
      <c r="QG63" s="744">
        <f t="shared" si="340"/>
        <v>0.33333333333333309</v>
      </c>
      <c r="QH63" s="1068">
        <f t="shared" si="341"/>
        <v>0.33333333333333309</v>
      </c>
      <c r="QI63" s="744">
        <f t="shared" si="342"/>
        <v>0.49999999999999917</v>
      </c>
      <c r="QJ63" s="1068">
        <f t="shared" si="343"/>
        <v>0.49999999999999917</v>
      </c>
      <c r="QK63" s="744">
        <f t="shared" si="344"/>
        <v>0.49999999999999917</v>
      </c>
      <c r="QL63" s="1068">
        <f t="shared" si="345"/>
        <v>0.49999999999999917</v>
      </c>
      <c r="QM63" s="744">
        <f t="shared" si="346"/>
        <v>0.49999999999999917</v>
      </c>
      <c r="QN63" s="1068">
        <f t="shared" si="347"/>
        <v>0.49999999999999917</v>
      </c>
      <c r="QO63" s="744">
        <f t="shared" si="348"/>
        <v>0.49999999999999917</v>
      </c>
      <c r="QP63" s="1068">
        <f t="shared" si="349"/>
        <v>0.49999999999999917</v>
      </c>
      <c r="QR63" s="1432">
        <f t="shared" si="350"/>
        <v>0.11111111111111115</v>
      </c>
      <c r="QS63" s="744">
        <f t="shared" si="351"/>
        <v>0.11111111111111115</v>
      </c>
      <c r="QT63" s="744">
        <f t="shared" si="352"/>
        <v>0.11111111111111115</v>
      </c>
      <c r="QU63" s="743">
        <f t="shared" si="353"/>
        <v>0.11111111111111115</v>
      </c>
      <c r="QV63" s="744">
        <f t="shared" si="354"/>
        <v>0.11111111111111115</v>
      </c>
      <c r="QW63" s="744">
        <f t="shared" si="355"/>
        <v>0.11111111111111115</v>
      </c>
      <c r="QX63" s="743">
        <f t="shared" si="356"/>
        <v>0.11111111111111115</v>
      </c>
      <c r="QY63" s="744">
        <f t="shared" si="357"/>
        <v>0.11111111111111115</v>
      </c>
      <c r="QZ63" s="745">
        <f t="shared" si="358"/>
        <v>0.11111111111111115</v>
      </c>
      <c r="RC63" s="744">
        <f t="shared" si="359"/>
        <v>5.5555555555555566E-2</v>
      </c>
      <c r="RD63" s="744">
        <f t="shared" si="360"/>
        <v>5.5555555555555566E-2</v>
      </c>
      <c r="RE63" s="744">
        <f t="shared" si="361"/>
        <v>5.5555555555555566E-2</v>
      </c>
      <c r="RF63" s="744">
        <f t="shared" si="362"/>
        <v>5.5555555555555566E-2</v>
      </c>
      <c r="RG63" s="744">
        <f t="shared" si="363"/>
        <v>5.5555555555555566E-2</v>
      </c>
      <c r="RH63" s="744">
        <f t="shared" si="364"/>
        <v>5.5555555555555566E-2</v>
      </c>
      <c r="RI63" s="744">
        <f t="shared" si="365"/>
        <v>5.5555555555555566E-2</v>
      </c>
      <c r="RJ63" s="744">
        <f t="shared" si="366"/>
        <v>5.5555555555555566E-2</v>
      </c>
      <c r="RK63" s="744">
        <f t="shared" si="367"/>
        <v>5.5555555555555566E-2</v>
      </c>
      <c r="RL63" s="1251"/>
      <c r="RM63" s="744">
        <f t="shared" si="368"/>
        <v>5.5555555555555566E-2</v>
      </c>
      <c r="RN63" s="744">
        <f t="shared" si="369"/>
        <v>5.5555555555555566E-2</v>
      </c>
      <c r="RO63" s="744">
        <f t="shared" si="370"/>
        <v>5.5555555555555566E-2</v>
      </c>
      <c r="RP63" s="744">
        <f t="shared" si="371"/>
        <v>5.5555555555555566E-2</v>
      </c>
      <c r="RQ63" s="744">
        <f t="shared" si="372"/>
        <v>5.5555555555555566E-2</v>
      </c>
      <c r="RR63" s="744">
        <f t="shared" si="373"/>
        <v>5.5555555555555566E-2</v>
      </c>
      <c r="RS63" s="744">
        <f t="shared" si="374"/>
        <v>5.5555555555555566E-2</v>
      </c>
      <c r="RT63" s="744">
        <f t="shared" si="375"/>
        <v>5.5555555555555566E-2</v>
      </c>
      <c r="RU63" s="744">
        <f t="shared" si="376"/>
        <v>5.5555555555555566E-2</v>
      </c>
      <c r="RV63" s="744"/>
      <c r="RW63" s="744">
        <f t="shared" si="377"/>
        <v>5.5555555555555566E-2</v>
      </c>
      <c r="RX63" s="744">
        <f t="shared" si="378"/>
        <v>5.5555555555555566E-2</v>
      </c>
      <c r="RY63" s="744">
        <f t="shared" si="379"/>
        <v>5.5555555555555566E-2</v>
      </c>
      <c r="RZ63" s="744">
        <f t="shared" si="380"/>
        <v>5.5555555555555566E-2</v>
      </c>
      <c r="SA63" s="744">
        <f t="shared" si="381"/>
        <v>5.5555555555555566E-2</v>
      </c>
      <c r="SB63" s="744">
        <f t="shared" si="382"/>
        <v>5.5555555555555566E-2</v>
      </c>
      <c r="SC63" s="744">
        <f t="shared" si="383"/>
        <v>5.5555555555555566E-2</v>
      </c>
      <c r="SD63" s="744">
        <f t="shared" si="384"/>
        <v>5.5555555555555566E-2</v>
      </c>
      <c r="SE63" s="744">
        <f t="shared" si="385"/>
        <v>5.5555555555555566E-2</v>
      </c>
      <c r="SF63" s="744"/>
      <c r="SG63" s="744">
        <f t="shared" si="386"/>
        <v>5.5555555555555566E-2</v>
      </c>
      <c r="SH63" s="744">
        <f t="shared" si="387"/>
        <v>5.5555555555555566E-2</v>
      </c>
      <c r="SI63" s="744">
        <f t="shared" si="388"/>
        <v>5.5555555555555566E-2</v>
      </c>
      <c r="SJ63" s="744">
        <f t="shared" si="389"/>
        <v>5.5555555555555566E-2</v>
      </c>
      <c r="SK63" s="744">
        <f t="shared" si="390"/>
        <v>5.5555555555555566E-2</v>
      </c>
      <c r="SL63" s="744">
        <f t="shared" si="391"/>
        <v>5.5555555555555566E-2</v>
      </c>
      <c r="SM63" s="744">
        <f t="shared" si="392"/>
        <v>5.5555555555555566E-2</v>
      </c>
      <c r="SN63" s="744">
        <f t="shared" si="393"/>
        <v>5.5555555555555566E-2</v>
      </c>
      <c r="SO63" s="744">
        <f t="shared" si="394"/>
        <v>5.5555555555555566E-2</v>
      </c>
      <c r="SP63" s="100"/>
      <c r="SQ63" s="114"/>
      <c r="SR63" s="806">
        <f t="shared" si="431"/>
        <v>0.49999999999999994</v>
      </c>
      <c r="SS63" s="806">
        <f t="shared" si="432"/>
        <v>0.49999999999999994</v>
      </c>
      <c r="ST63" s="806">
        <f t="shared" si="433"/>
        <v>0.49999999999999994</v>
      </c>
      <c r="SU63" s="806">
        <f t="shared" si="434"/>
        <v>0.49999999999999994</v>
      </c>
      <c r="SV63" s="806">
        <f t="shared" si="435"/>
        <v>0.49999999999999994</v>
      </c>
      <c r="SW63" s="806">
        <f t="shared" si="436"/>
        <v>0.49999999999999994</v>
      </c>
      <c r="SX63" s="806">
        <f t="shared" si="437"/>
        <v>0.49999999999999994</v>
      </c>
      <c r="SY63" s="806">
        <f t="shared" si="438"/>
        <v>0.49999999999999994</v>
      </c>
      <c r="SZ63" s="806">
        <f t="shared" si="439"/>
        <v>0.49999999999999994</v>
      </c>
      <c r="TA63" s="806"/>
      <c r="TB63" s="806">
        <f t="shared" si="440"/>
        <v>0.49999999999999994</v>
      </c>
      <c r="TC63" s="806">
        <f t="shared" si="441"/>
        <v>0.49999999999999994</v>
      </c>
      <c r="TD63" s="806">
        <f t="shared" si="442"/>
        <v>0.49999999999999994</v>
      </c>
      <c r="TE63" s="806">
        <f t="shared" si="443"/>
        <v>0.49999999999999994</v>
      </c>
      <c r="TF63" s="806">
        <f t="shared" si="444"/>
        <v>0.49999999999999994</v>
      </c>
      <c r="TG63" s="806">
        <f t="shared" si="445"/>
        <v>0.49999999999999994</v>
      </c>
      <c r="TH63" s="806">
        <f t="shared" si="446"/>
        <v>0.49999999999999994</v>
      </c>
      <c r="TI63" s="806">
        <f t="shared" si="447"/>
        <v>0.49999999999999994</v>
      </c>
      <c r="TJ63" s="806">
        <f t="shared" si="448"/>
        <v>0.49999999999999994</v>
      </c>
      <c r="TK63" s="806"/>
      <c r="TL63" s="806">
        <f t="shared" si="449"/>
        <v>0.49999999999999994</v>
      </c>
      <c r="TM63" s="806">
        <f t="shared" si="450"/>
        <v>0.49999999999999994</v>
      </c>
      <c r="TN63" s="806">
        <f t="shared" si="451"/>
        <v>0.49999999999999994</v>
      </c>
      <c r="TO63" s="806">
        <f t="shared" si="452"/>
        <v>0.49999999999999994</v>
      </c>
      <c r="TP63" s="806">
        <f t="shared" si="453"/>
        <v>0.49999999999999994</v>
      </c>
      <c r="TQ63" s="806">
        <f t="shared" si="454"/>
        <v>0.49999999999999994</v>
      </c>
      <c r="TR63" s="806">
        <f t="shared" si="455"/>
        <v>0.49999999999999994</v>
      </c>
      <c r="TS63" s="806">
        <f t="shared" si="456"/>
        <v>0.49999999999999994</v>
      </c>
      <c r="TT63" s="806">
        <f t="shared" si="457"/>
        <v>0.49999999999999994</v>
      </c>
      <c r="TU63" s="806"/>
      <c r="TV63" s="806">
        <f t="shared" si="458"/>
        <v>0.49999999999999994</v>
      </c>
      <c r="TW63" s="806">
        <f t="shared" si="459"/>
        <v>0.49999999999999994</v>
      </c>
      <c r="TX63" s="806">
        <f t="shared" si="460"/>
        <v>0.49999999999999994</v>
      </c>
      <c r="TY63" s="806">
        <f t="shared" si="461"/>
        <v>0.49999999999999994</v>
      </c>
      <c r="TZ63" s="806">
        <f t="shared" si="462"/>
        <v>0.49999999999999994</v>
      </c>
      <c r="UA63" s="806">
        <f t="shared" si="463"/>
        <v>0.49999999999999994</v>
      </c>
      <c r="UB63" s="806">
        <f t="shared" si="464"/>
        <v>0.49999999999999994</v>
      </c>
      <c r="UC63" s="806">
        <f t="shared" si="465"/>
        <v>0.49999999999999994</v>
      </c>
      <c r="UD63" s="1439">
        <f t="shared" si="466"/>
        <v>0.49999999999999994</v>
      </c>
    </row>
    <row r="64" spans="3:551" s="7" customFormat="1" x14ac:dyDescent="0.25">
      <c r="C64" s="21"/>
      <c r="D64" s="1308">
        <v>44039</v>
      </c>
      <c r="E64" s="233">
        <v>0</v>
      </c>
      <c r="F64" s="1392">
        <v>0</v>
      </c>
      <c r="G64" s="1392">
        <v>0</v>
      </c>
      <c r="H64" s="1392">
        <v>0</v>
      </c>
      <c r="I64" s="1392">
        <v>0</v>
      </c>
      <c r="J64" s="1392">
        <v>0</v>
      </c>
      <c r="K64" s="1392">
        <v>0</v>
      </c>
      <c r="L64" s="1392">
        <v>0</v>
      </c>
      <c r="M64" s="1392">
        <v>0</v>
      </c>
      <c r="N64" s="1392">
        <v>0</v>
      </c>
      <c r="O64" s="1392">
        <v>0</v>
      </c>
      <c r="P64" s="1392">
        <v>0</v>
      </c>
      <c r="Q64" s="1392">
        <v>0</v>
      </c>
      <c r="R64" s="1392">
        <v>0</v>
      </c>
      <c r="S64" s="1392">
        <v>0</v>
      </c>
      <c r="T64" s="1392">
        <v>0</v>
      </c>
      <c r="U64" s="1392">
        <v>0</v>
      </c>
      <c r="V64" s="1392">
        <v>0</v>
      </c>
      <c r="W64" s="1392">
        <v>0</v>
      </c>
      <c r="X64" s="1392">
        <v>0</v>
      </c>
      <c r="Y64" s="1392">
        <v>0</v>
      </c>
      <c r="Z64" s="1392">
        <v>0</v>
      </c>
      <c r="AA64" s="1392">
        <v>0</v>
      </c>
      <c r="AB64" s="1392">
        <v>0</v>
      </c>
      <c r="AC64" s="1392">
        <v>0</v>
      </c>
      <c r="AD64" s="1392">
        <v>0</v>
      </c>
      <c r="AE64" s="1392">
        <v>0</v>
      </c>
      <c r="AF64" s="1392">
        <v>0</v>
      </c>
      <c r="AG64" s="1392">
        <v>0</v>
      </c>
      <c r="AH64" s="1392">
        <v>0</v>
      </c>
      <c r="AI64" s="1392">
        <v>0</v>
      </c>
      <c r="AJ64" s="1392">
        <v>0</v>
      </c>
      <c r="AK64" s="1392">
        <v>0</v>
      </c>
      <c r="AL64" s="1392">
        <v>0</v>
      </c>
      <c r="AM64" s="1392">
        <v>0</v>
      </c>
      <c r="AN64" s="1392">
        <v>0</v>
      </c>
      <c r="AO64" s="1392">
        <v>0</v>
      </c>
      <c r="AP64" s="1392">
        <v>0</v>
      </c>
      <c r="AQ64" s="1392">
        <v>0</v>
      </c>
      <c r="AR64" s="1392">
        <v>0</v>
      </c>
      <c r="AS64" s="1392">
        <v>0</v>
      </c>
      <c r="AT64" s="1392">
        <v>0</v>
      </c>
      <c r="AU64" s="1392">
        <v>0</v>
      </c>
      <c r="AV64" s="1392">
        <v>0</v>
      </c>
      <c r="AW64" s="1392">
        <v>0</v>
      </c>
      <c r="AX64" s="1392">
        <v>0</v>
      </c>
      <c r="AY64" s="1392">
        <v>0</v>
      </c>
      <c r="AZ64" s="1392">
        <v>0</v>
      </c>
      <c r="BA64" s="1392">
        <v>0</v>
      </c>
      <c r="BB64" s="1392">
        <v>0</v>
      </c>
      <c r="BC64" s="1392">
        <v>0</v>
      </c>
      <c r="BD64" s="1392">
        <v>0</v>
      </c>
      <c r="BE64" s="1392">
        <v>0</v>
      </c>
      <c r="BF64" s="1392">
        <v>0</v>
      </c>
      <c r="BG64" s="1392">
        <v>0</v>
      </c>
      <c r="BH64" s="1392">
        <v>0</v>
      </c>
      <c r="BI64" s="1392">
        <v>0</v>
      </c>
      <c r="BJ64" s="1392">
        <v>0</v>
      </c>
      <c r="BK64" s="1392">
        <v>0</v>
      </c>
      <c r="BL64" s="1392">
        <v>0</v>
      </c>
      <c r="BM64" s="1392">
        <v>0</v>
      </c>
      <c r="BN64" s="1392">
        <v>0</v>
      </c>
      <c r="BO64" s="1392">
        <v>0</v>
      </c>
      <c r="BP64" s="1392">
        <v>0</v>
      </c>
      <c r="BQ64" s="1392">
        <v>0</v>
      </c>
      <c r="BR64" s="1392">
        <v>0</v>
      </c>
      <c r="BS64" s="1392">
        <v>0</v>
      </c>
      <c r="BT64" s="1392">
        <v>0</v>
      </c>
      <c r="BU64" s="1392">
        <v>0</v>
      </c>
      <c r="BV64" s="1392">
        <v>0</v>
      </c>
      <c r="BW64" s="1392">
        <v>0</v>
      </c>
      <c r="BX64" s="1392">
        <v>0</v>
      </c>
      <c r="BY64" s="1392">
        <v>0</v>
      </c>
      <c r="BZ64" s="1392">
        <v>0</v>
      </c>
      <c r="CA64" s="1392">
        <v>0</v>
      </c>
      <c r="CB64" s="1392">
        <v>0</v>
      </c>
      <c r="CC64" s="1392">
        <v>0</v>
      </c>
      <c r="CD64" s="1392">
        <v>0</v>
      </c>
      <c r="CE64" s="1392">
        <v>0</v>
      </c>
      <c r="CF64" s="1392">
        <v>0</v>
      </c>
      <c r="CG64" s="1392">
        <v>0</v>
      </c>
      <c r="CH64" s="1392">
        <v>0</v>
      </c>
      <c r="CI64" s="1392">
        <v>0</v>
      </c>
      <c r="CJ64" s="1392">
        <v>0</v>
      </c>
      <c r="CK64" s="1392">
        <v>0</v>
      </c>
      <c r="CL64" s="1392">
        <v>0</v>
      </c>
      <c r="CM64" s="1392">
        <v>0</v>
      </c>
      <c r="CN64" s="1392">
        <v>0</v>
      </c>
      <c r="CO64" s="1392">
        <v>0</v>
      </c>
      <c r="CP64" s="1392">
        <v>0</v>
      </c>
      <c r="CQ64" s="1392">
        <v>0</v>
      </c>
      <c r="CR64" s="1392">
        <v>0</v>
      </c>
      <c r="CS64" s="1392">
        <v>0</v>
      </c>
      <c r="CT64" s="1392">
        <v>0</v>
      </c>
      <c r="CU64" s="1392">
        <v>0</v>
      </c>
      <c r="CV64" s="1392">
        <v>0</v>
      </c>
      <c r="CW64" s="1392">
        <v>0</v>
      </c>
      <c r="CX64" s="1392">
        <v>0</v>
      </c>
      <c r="CY64" s="1392">
        <v>0</v>
      </c>
      <c r="CZ64" s="1392">
        <v>0</v>
      </c>
      <c r="DA64" s="1392">
        <v>0</v>
      </c>
      <c r="DB64" s="1392">
        <v>0</v>
      </c>
      <c r="DC64" s="1392">
        <v>0</v>
      </c>
      <c r="DD64" s="1392">
        <v>0</v>
      </c>
      <c r="DE64" s="1392">
        <v>0</v>
      </c>
      <c r="DF64" s="1392">
        <v>0</v>
      </c>
      <c r="DG64" s="1392">
        <v>0</v>
      </c>
      <c r="DH64" s="1392">
        <v>0</v>
      </c>
      <c r="DI64" s="1392">
        <v>0</v>
      </c>
      <c r="DJ64" s="1392">
        <v>0</v>
      </c>
      <c r="DK64" s="1392">
        <v>0</v>
      </c>
      <c r="DL64" s="1392">
        <v>0</v>
      </c>
      <c r="DM64" s="1392">
        <v>0</v>
      </c>
      <c r="DN64" s="1392">
        <v>0</v>
      </c>
      <c r="DO64" s="1392">
        <v>0</v>
      </c>
      <c r="DP64" s="1392">
        <v>0</v>
      </c>
      <c r="DQ64" s="1392">
        <v>0</v>
      </c>
      <c r="DR64" s="1392">
        <v>0</v>
      </c>
      <c r="DS64" s="1392">
        <v>0</v>
      </c>
      <c r="DT64" s="1392">
        <v>0</v>
      </c>
      <c r="DU64" s="1392">
        <v>0</v>
      </c>
      <c r="DV64" s="1392">
        <v>0</v>
      </c>
      <c r="DW64" s="1392">
        <v>0</v>
      </c>
      <c r="DX64" s="1392">
        <v>0</v>
      </c>
      <c r="DY64" s="1392">
        <v>0</v>
      </c>
      <c r="DZ64" s="1392">
        <v>0</v>
      </c>
      <c r="EA64" s="1392">
        <v>0</v>
      </c>
      <c r="EB64" s="1392">
        <v>0</v>
      </c>
      <c r="EC64" s="1392">
        <v>0</v>
      </c>
      <c r="ED64" s="1392">
        <v>0</v>
      </c>
      <c r="EE64" s="1392">
        <v>0</v>
      </c>
      <c r="EF64" s="1392">
        <v>0</v>
      </c>
      <c r="EG64" s="1392">
        <v>0</v>
      </c>
      <c r="EH64" s="1392">
        <v>0</v>
      </c>
      <c r="EI64" s="1392">
        <v>0</v>
      </c>
      <c r="EJ64" s="1392">
        <v>0</v>
      </c>
      <c r="EK64" s="1392">
        <v>0</v>
      </c>
      <c r="EL64" s="1392">
        <v>0</v>
      </c>
      <c r="EM64" s="1392">
        <v>0</v>
      </c>
      <c r="EN64" s="1392">
        <v>0</v>
      </c>
      <c r="EO64" s="1392">
        <v>0</v>
      </c>
      <c r="EP64" s="1392">
        <v>0</v>
      </c>
      <c r="EQ64" s="1392">
        <v>0</v>
      </c>
      <c r="ER64" s="1393">
        <v>0</v>
      </c>
      <c r="ES64" s="377"/>
      <c r="ET64" s="316">
        <f t="shared" si="335"/>
        <v>1</v>
      </c>
      <c r="EU64" s="1392">
        <f t="shared" si="20"/>
        <v>1</v>
      </c>
      <c r="EV64" s="1392">
        <f t="shared" si="21"/>
        <v>1</v>
      </c>
      <c r="EW64" s="1392">
        <f t="shared" si="22"/>
        <v>1</v>
      </c>
      <c r="EX64" s="1392">
        <f t="shared" si="23"/>
        <v>1</v>
      </c>
      <c r="EY64" s="1392">
        <f t="shared" si="24"/>
        <v>1</v>
      </c>
      <c r="EZ64" s="1392">
        <f t="shared" si="25"/>
        <v>1</v>
      </c>
      <c r="FA64" s="1392">
        <f t="shared" si="26"/>
        <v>1</v>
      </c>
      <c r="FB64" s="1392">
        <f t="shared" si="27"/>
        <v>1</v>
      </c>
      <c r="FC64" s="1392">
        <f t="shared" si="28"/>
        <v>1</v>
      </c>
      <c r="FD64" s="1392">
        <f t="shared" si="29"/>
        <v>1</v>
      </c>
      <c r="FE64" s="1392">
        <f t="shared" si="30"/>
        <v>1</v>
      </c>
      <c r="FF64" s="1392">
        <f t="shared" si="31"/>
        <v>1</v>
      </c>
      <c r="FG64" s="1392">
        <f t="shared" si="32"/>
        <v>1</v>
      </c>
      <c r="FH64" s="1392">
        <f t="shared" si="33"/>
        <v>1</v>
      </c>
      <c r="FI64" s="1392">
        <f t="shared" si="34"/>
        <v>1</v>
      </c>
      <c r="FJ64" s="1392">
        <f t="shared" si="35"/>
        <v>1</v>
      </c>
      <c r="FK64" s="1392">
        <f t="shared" si="36"/>
        <v>1</v>
      </c>
      <c r="FL64" s="1392">
        <f t="shared" si="37"/>
        <v>1</v>
      </c>
      <c r="FM64" s="1392">
        <f t="shared" si="38"/>
        <v>1</v>
      </c>
      <c r="FN64" s="1392">
        <f t="shared" si="39"/>
        <v>1</v>
      </c>
      <c r="FO64" s="1392">
        <f t="shared" si="40"/>
        <v>1</v>
      </c>
      <c r="FP64" s="1392">
        <f t="shared" si="41"/>
        <v>1</v>
      </c>
      <c r="FQ64" s="1392">
        <f t="shared" si="42"/>
        <v>1</v>
      </c>
      <c r="FR64" s="1392">
        <f t="shared" si="43"/>
        <v>1</v>
      </c>
      <c r="FS64" s="1392">
        <f t="shared" si="44"/>
        <v>1</v>
      </c>
      <c r="FT64" s="1392">
        <f t="shared" si="45"/>
        <v>1</v>
      </c>
      <c r="FU64" s="1392">
        <f t="shared" si="46"/>
        <v>1</v>
      </c>
      <c r="FV64" s="1392">
        <f t="shared" si="47"/>
        <v>1</v>
      </c>
      <c r="FW64" s="1392">
        <f t="shared" si="48"/>
        <v>1</v>
      </c>
      <c r="FX64" s="1392">
        <f t="shared" si="49"/>
        <v>1</v>
      </c>
      <c r="FY64" s="1392">
        <f t="shared" si="50"/>
        <v>1</v>
      </c>
      <c r="FZ64" s="1392">
        <f t="shared" si="51"/>
        <v>1</v>
      </c>
      <c r="GA64" s="1392">
        <f t="shared" si="52"/>
        <v>1</v>
      </c>
      <c r="GB64" s="1392">
        <f t="shared" si="53"/>
        <v>1</v>
      </c>
      <c r="GC64" s="1392">
        <f t="shared" si="54"/>
        <v>1</v>
      </c>
      <c r="GD64" s="1392">
        <f t="shared" si="55"/>
        <v>1</v>
      </c>
      <c r="GE64" s="1392">
        <f t="shared" si="56"/>
        <v>1</v>
      </c>
      <c r="GF64" s="1392">
        <f t="shared" si="57"/>
        <v>1</v>
      </c>
      <c r="GG64" s="1392">
        <f t="shared" si="58"/>
        <v>1</v>
      </c>
      <c r="GH64" s="1392">
        <f t="shared" si="59"/>
        <v>1</v>
      </c>
      <c r="GI64" s="1392">
        <f t="shared" si="60"/>
        <v>1</v>
      </c>
      <c r="GJ64" s="1392">
        <f t="shared" si="61"/>
        <v>1</v>
      </c>
      <c r="GK64" s="1392">
        <f t="shared" si="62"/>
        <v>1</v>
      </c>
      <c r="GL64" s="1392">
        <f t="shared" si="63"/>
        <v>1</v>
      </c>
      <c r="GM64" s="1392">
        <f t="shared" si="64"/>
        <v>1</v>
      </c>
      <c r="GN64" s="1392">
        <f t="shared" si="65"/>
        <v>1</v>
      </c>
      <c r="GO64" s="1392">
        <f t="shared" si="66"/>
        <v>1</v>
      </c>
      <c r="GP64" s="1392">
        <f t="shared" si="67"/>
        <v>1</v>
      </c>
      <c r="GQ64" s="1392">
        <f t="shared" si="68"/>
        <v>1</v>
      </c>
      <c r="GR64" s="1392">
        <f t="shared" si="69"/>
        <v>1</v>
      </c>
      <c r="GS64" s="1392">
        <f t="shared" si="70"/>
        <v>1</v>
      </c>
      <c r="GT64" s="1392">
        <f t="shared" si="71"/>
        <v>1</v>
      </c>
      <c r="GU64" s="1392">
        <f t="shared" si="72"/>
        <v>1</v>
      </c>
      <c r="GV64" s="1392">
        <f t="shared" si="73"/>
        <v>1</v>
      </c>
      <c r="GW64" s="1392">
        <f t="shared" si="74"/>
        <v>1</v>
      </c>
      <c r="GX64" s="1392">
        <f t="shared" si="75"/>
        <v>1</v>
      </c>
      <c r="GY64" s="1392">
        <f t="shared" si="76"/>
        <v>1</v>
      </c>
      <c r="GZ64" s="1392">
        <f t="shared" si="77"/>
        <v>1</v>
      </c>
      <c r="HA64" s="1392">
        <f t="shared" si="78"/>
        <v>1</v>
      </c>
      <c r="HB64" s="1392">
        <f t="shared" si="79"/>
        <v>1</v>
      </c>
      <c r="HC64" s="1392">
        <f t="shared" si="80"/>
        <v>1</v>
      </c>
      <c r="HD64" s="1392">
        <f t="shared" si="81"/>
        <v>1</v>
      </c>
      <c r="HE64" s="1392">
        <f t="shared" si="82"/>
        <v>1</v>
      </c>
      <c r="HF64" s="1392">
        <f t="shared" si="83"/>
        <v>1</v>
      </c>
      <c r="HG64" s="1392">
        <f t="shared" si="84"/>
        <v>1</v>
      </c>
      <c r="HH64" s="1392">
        <f t="shared" si="85"/>
        <v>1</v>
      </c>
      <c r="HI64" s="1392">
        <f t="shared" si="86"/>
        <v>1</v>
      </c>
      <c r="HJ64" s="1392">
        <f t="shared" si="87"/>
        <v>1</v>
      </c>
      <c r="HK64" s="1392">
        <f t="shared" si="88"/>
        <v>1</v>
      </c>
      <c r="HL64" s="1392">
        <f t="shared" si="89"/>
        <v>1</v>
      </c>
      <c r="HM64" s="1392">
        <f t="shared" si="90"/>
        <v>1</v>
      </c>
      <c r="HN64" s="1392">
        <f t="shared" si="91"/>
        <v>1</v>
      </c>
      <c r="HO64" s="1392">
        <f t="shared" si="92"/>
        <v>1</v>
      </c>
      <c r="HP64" s="1392">
        <f t="shared" si="93"/>
        <v>1</v>
      </c>
      <c r="HQ64" s="1392">
        <f t="shared" si="94"/>
        <v>1</v>
      </c>
      <c r="HR64" s="1392">
        <f t="shared" si="95"/>
        <v>1</v>
      </c>
      <c r="HS64" s="1392">
        <f t="shared" si="96"/>
        <v>1</v>
      </c>
      <c r="HT64" s="1392">
        <f t="shared" si="97"/>
        <v>1</v>
      </c>
      <c r="HU64" s="1392">
        <f t="shared" si="98"/>
        <v>1</v>
      </c>
      <c r="HV64" s="1392">
        <f t="shared" si="99"/>
        <v>1</v>
      </c>
      <c r="HW64" s="1392">
        <f t="shared" si="100"/>
        <v>1</v>
      </c>
      <c r="HX64" s="1392">
        <f t="shared" si="101"/>
        <v>1</v>
      </c>
      <c r="HY64" s="1392">
        <f t="shared" si="102"/>
        <v>1</v>
      </c>
      <c r="HZ64" s="1392">
        <f t="shared" si="103"/>
        <v>1</v>
      </c>
      <c r="IA64" s="1392">
        <f t="shared" si="104"/>
        <v>1</v>
      </c>
      <c r="IB64" s="1392">
        <f t="shared" si="105"/>
        <v>1</v>
      </c>
      <c r="IC64" s="1392">
        <f t="shared" si="106"/>
        <v>1</v>
      </c>
      <c r="ID64" s="1392">
        <f t="shared" si="107"/>
        <v>1</v>
      </c>
      <c r="IE64" s="1392">
        <f t="shared" si="108"/>
        <v>1</v>
      </c>
      <c r="IF64" s="1392">
        <f t="shared" si="109"/>
        <v>1</v>
      </c>
      <c r="IG64" s="1392">
        <f t="shared" si="110"/>
        <v>1</v>
      </c>
      <c r="IH64" s="1392">
        <f t="shared" si="111"/>
        <v>1</v>
      </c>
      <c r="II64" s="1392">
        <f t="shared" si="112"/>
        <v>1</v>
      </c>
      <c r="IJ64" s="1392">
        <f t="shared" si="113"/>
        <v>1</v>
      </c>
      <c r="IK64" s="1392">
        <f t="shared" si="114"/>
        <v>1</v>
      </c>
      <c r="IL64" s="1392">
        <f t="shared" si="115"/>
        <v>1</v>
      </c>
      <c r="IM64" s="1392">
        <f t="shared" si="116"/>
        <v>1</v>
      </c>
      <c r="IN64" s="1392">
        <f t="shared" si="117"/>
        <v>1</v>
      </c>
      <c r="IO64" s="1392">
        <f t="shared" si="118"/>
        <v>1</v>
      </c>
      <c r="IP64" s="1392">
        <f t="shared" si="119"/>
        <v>1</v>
      </c>
      <c r="IQ64" s="1392">
        <f t="shared" si="120"/>
        <v>1</v>
      </c>
      <c r="IR64" s="1392">
        <f t="shared" si="121"/>
        <v>1</v>
      </c>
      <c r="IS64" s="1392">
        <f t="shared" si="122"/>
        <v>1</v>
      </c>
      <c r="IT64" s="1392">
        <f t="shared" si="123"/>
        <v>1</v>
      </c>
      <c r="IU64" s="1392">
        <f t="shared" si="124"/>
        <v>1</v>
      </c>
      <c r="IV64" s="1392">
        <f t="shared" si="125"/>
        <v>1</v>
      </c>
      <c r="IW64" s="1392">
        <f t="shared" si="126"/>
        <v>1</v>
      </c>
      <c r="IX64" s="1392">
        <f t="shared" si="127"/>
        <v>1</v>
      </c>
      <c r="IY64" s="1392">
        <f t="shared" si="128"/>
        <v>1</v>
      </c>
      <c r="IZ64" s="1392">
        <f t="shared" si="129"/>
        <v>1</v>
      </c>
      <c r="JA64" s="1392">
        <f t="shared" si="130"/>
        <v>1</v>
      </c>
      <c r="JB64" s="1392">
        <f t="shared" si="131"/>
        <v>1</v>
      </c>
      <c r="JC64" s="1392">
        <f t="shared" si="132"/>
        <v>1</v>
      </c>
      <c r="JD64" s="1392">
        <f t="shared" si="133"/>
        <v>1</v>
      </c>
      <c r="JE64" s="1392">
        <f t="shared" si="134"/>
        <v>1</v>
      </c>
      <c r="JF64" s="1392">
        <f t="shared" si="135"/>
        <v>1</v>
      </c>
      <c r="JG64" s="1392">
        <f t="shared" si="136"/>
        <v>1</v>
      </c>
      <c r="JH64" s="1392">
        <f t="shared" si="137"/>
        <v>1</v>
      </c>
      <c r="JI64" s="1392">
        <f t="shared" si="138"/>
        <v>1</v>
      </c>
      <c r="JJ64" s="1392">
        <f t="shared" si="139"/>
        <v>1</v>
      </c>
      <c r="JK64" s="1392">
        <f t="shared" si="140"/>
        <v>1</v>
      </c>
      <c r="JL64" s="1392">
        <f t="shared" si="141"/>
        <v>1</v>
      </c>
      <c r="JM64" s="1392">
        <f t="shared" si="142"/>
        <v>1</v>
      </c>
      <c r="JN64" s="1392">
        <f t="shared" si="143"/>
        <v>1</v>
      </c>
      <c r="JO64" s="1392">
        <f t="shared" si="144"/>
        <v>1</v>
      </c>
      <c r="JP64" s="1392">
        <f t="shared" si="145"/>
        <v>1</v>
      </c>
      <c r="JQ64" s="1392">
        <f t="shared" si="146"/>
        <v>1</v>
      </c>
      <c r="JR64" s="1392">
        <f t="shared" si="147"/>
        <v>1</v>
      </c>
      <c r="JS64" s="1392">
        <f t="shared" si="148"/>
        <v>1</v>
      </c>
      <c r="JT64" s="1392">
        <f t="shared" si="149"/>
        <v>1</v>
      </c>
      <c r="JU64" s="1392">
        <f t="shared" si="150"/>
        <v>1</v>
      </c>
      <c r="JV64" s="1392">
        <f t="shared" si="151"/>
        <v>1</v>
      </c>
      <c r="JW64" s="1392">
        <f t="shared" si="152"/>
        <v>1</v>
      </c>
      <c r="JX64" s="1392">
        <f t="shared" si="153"/>
        <v>1</v>
      </c>
      <c r="JY64" s="1392">
        <f t="shared" si="154"/>
        <v>1</v>
      </c>
      <c r="JZ64" s="1392">
        <f t="shared" si="155"/>
        <v>1</v>
      </c>
      <c r="KA64" s="1392">
        <f t="shared" si="156"/>
        <v>1</v>
      </c>
      <c r="KB64" s="1392">
        <f t="shared" si="157"/>
        <v>1</v>
      </c>
      <c r="KC64" s="1392">
        <f t="shared" si="158"/>
        <v>1</v>
      </c>
      <c r="KD64" s="1392">
        <f t="shared" si="159"/>
        <v>1</v>
      </c>
      <c r="KE64" s="1392">
        <f t="shared" si="160"/>
        <v>1</v>
      </c>
      <c r="KF64" s="1392">
        <f t="shared" si="161"/>
        <v>1</v>
      </c>
      <c r="KG64" s="1399">
        <f t="shared" si="162"/>
        <v>1</v>
      </c>
      <c r="KH64" s="1406">
        <f t="shared" si="163"/>
        <v>144</v>
      </c>
      <c r="KI64" s="377"/>
      <c r="KJ64" s="1444">
        <f t="shared" si="164"/>
        <v>19.879253198304003</v>
      </c>
      <c r="KK64" s="49">
        <f t="shared" si="165"/>
        <v>0</v>
      </c>
      <c r="KL64" s="377"/>
      <c r="KM64" s="908">
        <f t="shared" si="166"/>
        <v>6.9444444444444441E-3</v>
      </c>
      <c r="KN64" s="1411">
        <f t="shared" si="167"/>
        <v>6.9444444444444441E-3</v>
      </c>
      <c r="KO64" s="1411">
        <f t="shared" si="168"/>
        <v>6.9444444444444441E-3</v>
      </c>
      <c r="KP64" s="1411">
        <f t="shared" si="169"/>
        <v>6.9444444444444441E-3</v>
      </c>
      <c r="KQ64" s="1411">
        <f t="shared" si="170"/>
        <v>6.9444444444444441E-3</v>
      </c>
      <c r="KR64" s="1411">
        <f t="shared" si="171"/>
        <v>6.9444444444444441E-3</v>
      </c>
      <c r="KS64" s="1411">
        <f t="shared" si="172"/>
        <v>6.9444444444444441E-3</v>
      </c>
      <c r="KT64" s="1411">
        <f t="shared" si="173"/>
        <v>6.9444444444444441E-3</v>
      </c>
      <c r="KU64" s="1411">
        <f t="shared" si="174"/>
        <v>6.9444444444444441E-3</v>
      </c>
      <c r="KV64" s="1411">
        <f t="shared" si="175"/>
        <v>6.9444444444444441E-3</v>
      </c>
      <c r="KW64" s="1411">
        <f t="shared" si="176"/>
        <v>6.9444444444444441E-3</v>
      </c>
      <c r="KX64" s="1411">
        <f t="shared" si="177"/>
        <v>6.9444444444444441E-3</v>
      </c>
      <c r="KY64" s="1411">
        <f t="shared" si="178"/>
        <v>6.9444444444444441E-3</v>
      </c>
      <c r="KZ64" s="1411">
        <f t="shared" si="179"/>
        <v>6.9444444444444441E-3</v>
      </c>
      <c r="LA64" s="1411">
        <f t="shared" si="180"/>
        <v>6.9444444444444441E-3</v>
      </c>
      <c r="LB64" s="1411">
        <f t="shared" si="181"/>
        <v>6.9444444444444441E-3</v>
      </c>
      <c r="LC64" s="1411">
        <f t="shared" si="182"/>
        <v>6.9444444444444441E-3</v>
      </c>
      <c r="LD64" s="1411">
        <f t="shared" si="183"/>
        <v>6.9444444444444441E-3</v>
      </c>
      <c r="LE64" s="1411">
        <f t="shared" si="184"/>
        <v>6.9444444444444441E-3</v>
      </c>
      <c r="LF64" s="1411">
        <f t="shared" si="185"/>
        <v>6.9444444444444441E-3</v>
      </c>
      <c r="LG64" s="1411">
        <f t="shared" si="186"/>
        <v>6.9444444444444441E-3</v>
      </c>
      <c r="LH64" s="1411">
        <f t="shared" si="187"/>
        <v>6.9444444444444441E-3</v>
      </c>
      <c r="LI64" s="1411">
        <f t="shared" si="188"/>
        <v>6.9444444444444441E-3</v>
      </c>
      <c r="LJ64" s="1411">
        <f t="shared" si="189"/>
        <v>6.9444444444444441E-3</v>
      </c>
      <c r="LK64" s="1411">
        <f t="shared" si="190"/>
        <v>6.9444444444444441E-3</v>
      </c>
      <c r="LL64" s="1411">
        <f t="shared" si="191"/>
        <v>6.9444444444444441E-3</v>
      </c>
      <c r="LM64" s="1411">
        <f t="shared" si="192"/>
        <v>6.9444444444444441E-3</v>
      </c>
      <c r="LN64" s="1411">
        <f t="shared" si="193"/>
        <v>6.9444444444444441E-3</v>
      </c>
      <c r="LO64" s="1411">
        <f t="shared" si="194"/>
        <v>6.9444444444444441E-3</v>
      </c>
      <c r="LP64" s="1411">
        <f t="shared" si="195"/>
        <v>6.9444444444444441E-3</v>
      </c>
      <c r="LQ64" s="1411">
        <f t="shared" si="196"/>
        <v>6.9444444444444441E-3</v>
      </c>
      <c r="LR64" s="1411">
        <f t="shared" si="197"/>
        <v>6.9444444444444441E-3</v>
      </c>
      <c r="LS64" s="1411">
        <f t="shared" si="198"/>
        <v>6.9444444444444441E-3</v>
      </c>
      <c r="LT64" s="1411">
        <f t="shared" si="199"/>
        <v>6.9444444444444441E-3</v>
      </c>
      <c r="LU64" s="1411">
        <f t="shared" si="200"/>
        <v>6.9444444444444441E-3</v>
      </c>
      <c r="LV64" s="1411">
        <f t="shared" si="201"/>
        <v>6.9444444444444441E-3</v>
      </c>
      <c r="LW64" s="1411">
        <f t="shared" si="202"/>
        <v>6.9444444444444441E-3</v>
      </c>
      <c r="LX64" s="1411">
        <f t="shared" si="203"/>
        <v>6.9444444444444441E-3</v>
      </c>
      <c r="LY64" s="1411">
        <f t="shared" si="204"/>
        <v>6.9444444444444441E-3</v>
      </c>
      <c r="LZ64" s="1411">
        <f t="shared" si="205"/>
        <v>6.9444444444444441E-3</v>
      </c>
      <c r="MA64" s="1411">
        <f t="shared" si="206"/>
        <v>6.9444444444444441E-3</v>
      </c>
      <c r="MB64" s="1411">
        <f t="shared" si="207"/>
        <v>6.9444444444444441E-3</v>
      </c>
      <c r="MC64" s="1411">
        <f t="shared" si="208"/>
        <v>6.9444444444444441E-3</v>
      </c>
      <c r="MD64" s="1411">
        <f t="shared" si="209"/>
        <v>6.9444444444444441E-3</v>
      </c>
      <c r="ME64" s="1411">
        <f t="shared" si="210"/>
        <v>6.9444444444444441E-3</v>
      </c>
      <c r="MF64" s="1411">
        <f t="shared" si="211"/>
        <v>6.9444444444444441E-3</v>
      </c>
      <c r="MG64" s="1411">
        <f t="shared" si="212"/>
        <v>6.9444444444444441E-3</v>
      </c>
      <c r="MH64" s="1411">
        <f t="shared" si="213"/>
        <v>6.9444444444444441E-3</v>
      </c>
      <c r="MI64" s="1411">
        <f t="shared" si="214"/>
        <v>6.9444444444444441E-3</v>
      </c>
      <c r="MJ64" s="1411">
        <f t="shared" si="215"/>
        <v>6.9444444444444441E-3</v>
      </c>
      <c r="MK64" s="1411">
        <f t="shared" si="216"/>
        <v>6.9444444444444441E-3</v>
      </c>
      <c r="ML64" s="1411">
        <f t="shared" si="217"/>
        <v>6.9444444444444441E-3</v>
      </c>
      <c r="MM64" s="1411">
        <f t="shared" si="218"/>
        <v>6.9444444444444441E-3</v>
      </c>
      <c r="MN64" s="1411">
        <f t="shared" si="219"/>
        <v>6.9444444444444441E-3</v>
      </c>
      <c r="MO64" s="1411">
        <f t="shared" si="220"/>
        <v>6.9444444444444441E-3</v>
      </c>
      <c r="MP64" s="1411">
        <f t="shared" si="221"/>
        <v>6.9444444444444441E-3</v>
      </c>
      <c r="MQ64" s="1411">
        <f t="shared" si="222"/>
        <v>6.9444444444444441E-3</v>
      </c>
      <c r="MR64" s="1411">
        <f t="shared" si="223"/>
        <v>6.9444444444444441E-3</v>
      </c>
      <c r="MS64" s="1411">
        <f t="shared" si="224"/>
        <v>6.9444444444444441E-3</v>
      </c>
      <c r="MT64" s="1411">
        <f t="shared" si="225"/>
        <v>6.9444444444444441E-3</v>
      </c>
      <c r="MU64" s="1411">
        <f t="shared" si="226"/>
        <v>6.9444444444444441E-3</v>
      </c>
      <c r="MV64" s="1411">
        <f t="shared" si="227"/>
        <v>6.9444444444444441E-3</v>
      </c>
      <c r="MW64" s="1411">
        <f t="shared" si="228"/>
        <v>6.9444444444444441E-3</v>
      </c>
      <c r="MX64" s="1411">
        <f t="shared" si="229"/>
        <v>6.9444444444444441E-3</v>
      </c>
      <c r="MY64" s="1411">
        <f t="shared" si="230"/>
        <v>6.9444444444444441E-3</v>
      </c>
      <c r="MZ64" s="1411">
        <f t="shared" si="231"/>
        <v>6.9444444444444441E-3</v>
      </c>
      <c r="NA64" s="1411">
        <f t="shared" si="232"/>
        <v>6.9444444444444441E-3</v>
      </c>
      <c r="NB64" s="1411">
        <f t="shared" si="233"/>
        <v>6.9444444444444441E-3</v>
      </c>
      <c r="NC64" s="1411">
        <f t="shared" si="234"/>
        <v>6.9444444444444441E-3</v>
      </c>
      <c r="ND64" s="1411">
        <f t="shared" si="235"/>
        <v>6.9444444444444441E-3</v>
      </c>
      <c r="NE64" s="1411">
        <f t="shared" si="236"/>
        <v>6.9444444444444441E-3</v>
      </c>
      <c r="NF64" s="1411">
        <f t="shared" si="237"/>
        <v>6.9444444444444441E-3</v>
      </c>
      <c r="NG64" s="1411">
        <f t="shared" si="238"/>
        <v>6.9444444444444441E-3</v>
      </c>
      <c r="NH64" s="1411">
        <f t="shared" si="239"/>
        <v>6.9444444444444441E-3</v>
      </c>
      <c r="NI64" s="1411">
        <f t="shared" si="240"/>
        <v>6.9444444444444441E-3</v>
      </c>
      <c r="NJ64" s="1411">
        <f t="shared" si="241"/>
        <v>6.9444444444444441E-3</v>
      </c>
      <c r="NK64" s="1411">
        <f t="shared" si="242"/>
        <v>6.9444444444444441E-3</v>
      </c>
      <c r="NL64" s="1411">
        <f t="shared" si="243"/>
        <v>6.9444444444444441E-3</v>
      </c>
      <c r="NM64" s="1411">
        <f t="shared" si="244"/>
        <v>6.9444444444444441E-3</v>
      </c>
      <c r="NN64" s="1411">
        <f t="shared" si="245"/>
        <v>6.9444444444444441E-3</v>
      </c>
      <c r="NO64" s="1411">
        <f t="shared" si="246"/>
        <v>6.9444444444444441E-3</v>
      </c>
      <c r="NP64" s="1411">
        <f t="shared" si="247"/>
        <v>6.9444444444444441E-3</v>
      </c>
      <c r="NQ64" s="1411">
        <f t="shared" si="248"/>
        <v>6.9444444444444441E-3</v>
      </c>
      <c r="NR64" s="1411">
        <f t="shared" si="249"/>
        <v>6.9444444444444441E-3</v>
      </c>
      <c r="NS64" s="1411">
        <f t="shared" si="250"/>
        <v>6.9444444444444441E-3</v>
      </c>
      <c r="NT64" s="1411">
        <f t="shared" si="251"/>
        <v>6.9444444444444441E-3</v>
      </c>
      <c r="NU64" s="1411">
        <f t="shared" si="252"/>
        <v>6.9444444444444441E-3</v>
      </c>
      <c r="NV64" s="1411">
        <f t="shared" si="253"/>
        <v>6.9444444444444441E-3</v>
      </c>
      <c r="NW64" s="1411">
        <f t="shared" si="254"/>
        <v>6.9444444444444441E-3</v>
      </c>
      <c r="NX64" s="1411">
        <f t="shared" si="255"/>
        <v>6.9444444444444441E-3</v>
      </c>
      <c r="NY64" s="1411">
        <f t="shared" si="256"/>
        <v>6.9444444444444441E-3</v>
      </c>
      <c r="NZ64" s="1411">
        <f t="shared" si="257"/>
        <v>6.9444444444444441E-3</v>
      </c>
      <c r="OA64" s="1411">
        <f t="shared" si="258"/>
        <v>6.9444444444444441E-3</v>
      </c>
      <c r="OB64" s="1411">
        <f t="shared" si="259"/>
        <v>6.9444444444444441E-3</v>
      </c>
      <c r="OC64" s="1411">
        <f t="shared" si="260"/>
        <v>6.9444444444444441E-3</v>
      </c>
      <c r="OD64" s="1411">
        <f t="shared" si="261"/>
        <v>6.9444444444444441E-3</v>
      </c>
      <c r="OE64" s="1411">
        <f t="shared" si="262"/>
        <v>6.9444444444444441E-3</v>
      </c>
      <c r="OF64" s="1411">
        <f t="shared" si="263"/>
        <v>6.9444444444444441E-3</v>
      </c>
      <c r="OG64" s="1411">
        <f t="shared" si="264"/>
        <v>6.9444444444444441E-3</v>
      </c>
      <c r="OH64" s="1411">
        <f t="shared" si="265"/>
        <v>6.9444444444444441E-3</v>
      </c>
      <c r="OI64" s="1411">
        <f t="shared" si="266"/>
        <v>6.9444444444444441E-3</v>
      </c>
      <c r="OJ64" s="1411">
        <f t="shared" si="267"/>
        <v>6.9444444444444441E-3</v>
      </c>
      <c r="OK64" s="1411">
        <f t="shared" si="268"/>
        <v>6.9444444444444441E-3</v>
      </c>
      <c r="OL64" s="1411">
        <f t="shared" si="269"/>
        <v>6.9444444444444441E-3</v>
      </c>
      <c r="OM64" s="1411">
        <f t="shared" si="270"/>
        <v>6.9444444444444441E-3</v>
      </c>
      <c r="ON64" s="1411">
        <f t="shared" si="271"/>
        <v>6.9444444444444441E-3</v>
      </c>
      <c r="OO64" s="1411">
        <f t="shared" si="272"/>
        <v>6.9444444444444441E-3</v>
      </c>
      <c r="OP64" s="1411">
        <f t="shared" si="273"/>
        <v>6.9444444444444441E-3</v>
      </c>
      <c r="OQ64" s="1411">
        <f t="shared" si="274"/>
        <v>6.9444444444444441E-3</v>
      </c>
      <c r="OR64" s="1411">
        <f t="shared" si="275"/>
        <v>6.9444444444444441E-3</v>
      </c>
      <c r="OS64" s="1411">
        <f t="shared" si="276"/>
        <v>6.9444444444444441E-3</v>
      </c>
      <c r="OT64" s="1411">
        <f t="shared" si="277"/>
        <v>6.9444444444444441E-3</v>
      </c>
      <c r="OU64" s="1411">
        <f t="shared" si="278"/>
        <v>6.9444444444444441E-3</v>
      </c>
      <c r="OV64" s="1411">
        <f t="shared" si="279"/>
        <v>6.9444444444444441E-3</v>
      </c>
      <c r="OW64" s="1411">
        <f t="shared" si="280"/>
        <v>6.9444444444444441E-3</v>
      </c>
      <c r="OX64" s="1411">
        <f t="shared" si="281"/>
        <v>6.9444444444444441E-3</v>
      </c>
      <c r="OY64" s="1411">
        <f t="shared" si="282"/>
        <v>6.9444444444444441E-3</v>
      </c>
      <c r="OZ64" s="1411">
        <f t="shared" si="283"/>
        <v>6.9444444444444441E-3</v>
      </c>
      <c r="PA64" s="1411">
        <f t="shared" si="284"/>
        <v>6.9444444444444441E-3</v>
      </c>
      <c r="PB64" s="1411">
        <f t="shared" si="285"/>
        <v>6.9444444444444441E-3</v>
      </c>
      <c r="PC64" s="1411">
        <f t="shared" si="286"/>
        <v>6.9444444444444441E-3</v>
      </c>
      <c r="PD64" s="1411">
        <f t="shared" si="287"/>
        <v>6.9444444444444441E-3</v>
      </c>
      <c r="PE64" s="1411">
        <f t="shared" si="288"/>
        <v>6.9444444444444441E-3</v>
      </c>
      <c r="PF64" s="1411">
        <f t="shared" si="289"/>
        <v>6.9444444444444441E-3</v>
      </c>
      <c r="PG64" s="1411">
        <f t="shared" si="290"/>
        <v>6.9444444444444441E-3</v>
      </c>
      <c r="PH64" s="1411">
        <f t="shared" si="291"/>
        <v>6.9444444444444441E-3</v>
      </c>
      <c r="PI64" s="1411">
        <f t="shared" si="292"/>
        <v>6.9444444444444441E-3</v>
      </c>
      <c r="PJ64" s="1411">
        <f t="shared" si="293"/>
        <v>6.9444444444444441E-3</v>
      </c>
      <c r="PK64" s="1411">
        <f t="shared" si="294"/>
        <v>6.9444444444444441E-3</v>
      </c>
      <c r="PL64" s="1411">
        <f t="shared" si="295"/>
        <v>6.9444444444444441E-3</v>
      </c>
      <c r="PM64" s="1411">
        <f t="shared" si="296"/>
        <v>6.9444444444444441E-3</v>
      </c>
      <c r="PN64" s="1411">
        <f t="shared" si="297"/>
        <v>6.9444444444444441E-3</v>
      </c>
      <c r="PO64" s="1411">
        <f t="shared" si="298"/>
        <v>6.9444444444444441E-3</v>
      </c>
      <c r="PP64" s="1411">
        <f t="shared" si="299"/>
        <v>6.9444444444444441E-3</v>
      </c>
      <c r="PQ64" s="1411">
        <f t="shared" si="300"/>
        <v>6.9444444444444441E-3</v>
      </c>
      <c r="PR64" s="1411">
        <f t="shared" si="301"/>
        <v>6.9444444444444441E-3</v>
      </c>
      <c r="PS64" s="1411">
        <f t="shared" si="302"/>
        <v>6.9444444444444441E-3</v>
      </c>
      <c r="PT64" s="1411">
        <f t="shared" si="303"/>
        <v>6.9444444444444441E-3</v>
      </c>
      <c r="PU64" s="1411">
        <f t="shared" si="304"/>
        <v>6.9444444444444441E-3</v>
      </c>
      <c r="PV64" s="1411">
        <f t="shared" si="305"/>
        <v>6.9444444444444441E-3</v>
      </c>
      <c r="PW64" s="1411">
        <f t="shared" si="306"/>
        <v>6.9444444444444441E-3</v>
      </c>
      <c r="PX64" s="1411">
        <f t="shared" si="307"/>
        <v>6.9444444444444441E-3</v>
      </c>
      <c r="PY64" s="1411">
        <f t="shared" si="308"/>
        <v>6.9444444444444441E-3</v>
      </c>
      <c r="PZ64" s="1412">
        <f t="shared" si="309"/>
        <v>6.9444444444444441E-3</v>
      </c>
      <c r="QB64" s="33" t="s">
        <v>1072</v>
      </c>
      <c r="QC64" s="1432">
        <f t="shared" si="336"/>
        <v>0.33333333333333309</v>
      </c>
      <c r="QD64" s="744">
        <f t="shared" si="337"/>
        <v>0.33333333333333309</v>
      </c>
      <c r="QE64" s="1068">
        <f t="shared" si="338"/>
        <v>0.33333333333333309</v>
      </c>
      <c r="QF64" s="744">
        <f t="shared" si="339"/>
        <v>0.33333333333333309</v>
      </c>
      <c r="QG64" s="744">
        <f t="shared" si="340"/>
        <v>0.33333333333333309</v>
      </c>
      <c r="QH64" s="1068">
        <f t="shared" si="341"/>
        <v>0.33333333333333309</v>
      </c>
      <c r="QI64" s="744">
        <f t="shared" si="342"/>
        <v>0.49999999999999917</v>
      </c>
      <c r="QJ64" s="1068">
        <f t="shared" si="343"/>
        <v>0.49999999999999917</v>
      </c>
      <c r="QK64" s="744">
        <f t="shared" si="344"/>
        <v>0.49999999999999917</v>
      </c>
      <c r="QL64" s="1068">
        <f t="shared" si="345"/>
        <v>0.49999999999999917</v>
      </c>
      <c r="QM64" s="744">
        <f t="shared" si="346"/>
        <v>0.49999999999999917</v>
      </c>
      <c r="QN64" s="1068">
        <f t="shared" si="347"/>
        <v>0.49999999999999917</v>
      </c>
      <c r="QO64" s="744">
        <f t="shared" si="348"/>
        <v>0.49999999999999917</v>
      </c>
      <c r="QP64" s="1068">
        <f t="shared" si="349"/>
        <v>0.49999999999999917</v>
      </c>
      <c r="QR64" s="1432">
        <f t="shared" si="350"/>
        <v>0.11111111111111115</v>
      </c>
      <c r="QS64" s="744">
        <f t="shared" si="351"/>
        <v>0.11111111111111115</v>
      </c>
      <c r="QT64" s="744">
        <f t="shared" si="352"/>
        <v>0.11111111111111115</v>
      </c>
      <c r="QU64" s="743">
        <f t="shared" si="353"/>
        <v>0.11111111111111115</v>
      </c>
      <c r="QV64" s="744">
        <f t="shared" si="354"/>
        <v>0.11111111111111115</v>
      </c>
      <c r="QW64" s="744">
        <f t="shared" si="355"/>
        <v>0.11111111111111115</v>
      </c>
      <c r="QX64" s="743">
        <f t="shared" si="356"/>
        <v>0.11111111111111115</v>
      </c>
      <c r="QY64" s="744">
        <f t="shared" si="357"/>
        <v>0.11111111111111115</v>
      </c>
      <c r="QZ64" s="745">
        <f t="shared" si="358"/>
        <v>0.11111111111111115</v>
      </c>
      <c r="RC64" s="744">
        <f t="shared" si="359"/>
        <v>5.5555555555555566E-2</v>
      </c>
      <c r="RD64" s="744">
        <f t="shared" si="360"/>
        <v>5.5555555555555566E-2</v>
      </c>
      <c r="RE64" s="744">
        <f t="shared" si="361"/>
        <v>5.5555555555555566E-2</v>
      </c>
      <c r="RF64" s="744">
        <f t="shared" si="362"/>
        <v>5.5555555555555566E-2</v>
      </c>
      <c r="RG64" s="744">
        <f t="shared" si="363"/>
        <v>5.5555555555555566E-2</v>
      </c>
      <c r="RH64" s="744">
        <f t="shared" si="364"/>
        <v>5.5555555555555566E-2</v>
      </c>
      <c r="RI64" s="744">
        <f t="shared" si="365"/>
        <v>5.5555555555555566E-2</v>
      </c>
      <c r="RJ64" s="744">
        <f t="shared" si="366"/>
        <v>5.5555555555555566E-2</v>
      </c>
      <c r="RK64" s="744">
        <f t="shared" si="367"/>
        <v>5.5555555555555566E-2</v>
      </c>
      <c r="RL64" s="1251"/>
      <c r="RM64" s="744">
        <f t="shared" si="368"/>
        <v>5.5555555555555566E-2</v>
      </c>
      <c r="RN64" s="744">
        <f t="shared" si="369"/>
        <v>5.5555555555555566E-2</v>
      </c>
      <c r="RO64" s="744">
        <f t="shared" si="370"/>
        <v>5.5555555555555566E-2</v>
      </c>
      <c r="RP64" s="744">
        <f t="shared" si="371"/>
        <v>5.5555555555555566E-2</v>
      </c>
      <c r="RQ64" s="744">
        <f t="shared" si="372"/>
        <v>5.5555555555555566E-2</v>
      </c>
      <c r="RR64" s="744">
        <f t="shared" si="373"/>
        <v>5.5555555555555566E-2</v>
      </c>
      <c r="RS64" s="744">
        <f t="shared" si="374"/>
        <v>5.5555555555555566E-2</v>
      </c>
      <c r="RT64" s="744">
        <f t="shared" si="375"/>
        <v>5.5555555555555566E-2</v>
      </c>
      <c r="RU64" s="744">
        <f t="shared" si="376"/>
        <v>5.5555555555555566E-2</v>
      </c>
      <c r="RV64" s="744"/>
      <c r="RW64" s="744">
        <f t="shared" si="377"/>
        <v>5.5555555555555566E-2</v>
      </c>
      <c r="RX64" s="744">
        <f t="shared" si="378"/>
        <v>5.5555555555555566E-2</v>
      </c>
      <c r="RY64" s="744">
        <f t="shared" si="379"/>
        <v>5.5555555555555566E-2</v>
      </c>
      <c r="RZ64" s="744">
        <f t="shared" si="380"/>
        <v>5.5555555555555566E-2</v>
      </c>
      <c r="SA64" s="744">
        <f t="shared" si="381"/>
        <v>5.5555555555555566E-2</v>
      </c>
      <c r="SB64" s="744">
        <f t="shared" si="382"/>
        <v>5.5555555555555566E-2</v>
      </c>
      <c r="SC64" s="744">
        <f t="shared" si="383"/>
        <v>5.5555555555555566E-2</v>
      </c>
      <c r="SD64" s="744">
        <f t="shared" si="384"/>
        <v>5.5555555555555566E-2</v>
      </c>
      <c r="SE64" s="744">
        <f t="shared" si="385"/>
        <v>5.5555555555555566E-2</v>
      </c>
      <c r="SF64" s="744"/>
      <c r="SG64" s="744">
        <f t="shared" si="386"/>
        <v>5.5555555555555566E-2</v>
      </c>
      <c r="SH64" s="744">
        <f t="shared" si="387"/>
        <v>5.5555555555555566E-2</v>
      </c>
      <c r="SI64" s="744">
        <f t="shared" si="388"/>
        <v>5.5555555555555566E-2</v>
      </c>
      <c r="SJ64" s="744">
        <f t="shared" si="389"/>
        <v>5.5555555555555566E-2</v>
      </c>
      <c r="SK64" s="744">
        <f t="shared" si="390"/>
        <v>5.5555555555555566E-2</v>
      </c>
      <c r="SL64" s="744">
        <f t="shared" si="391"/>
        <v>5.5555555555555566E-2</v>
      </c>
      <c r="SM64" s="744">
        <f t="shared" si="392"/>
        <v>5.5555555555555566E-2</v>
      </c>
      <c r="SN64" s="744">
        <f t="shared" si="393"/>
        <v>5.5555555555555566E-2</v>
      </c>
      <c r="SO64" s="744">
        <f t="shared" si="394"/>
        <v>5.5555555555555566E-2</v>
      </c>
      <c r="SP64" s="100"/>
      <c r="SQ64" s="114"/>
      <c r="SR64" s="806">
        <f t="shared" si="431"/>
        <v>0.49999999999999994</v>
      </c>
      <c r="SS64" s="806">
        <f t="shared" si="432"/>
        <v>0.49999999999999994</v>
      </c>
      <c r="ST64" s="806">
        <f t="shared" si="433"/>
        <v>0.49999999999999994</v>
      </c>
      <c r="SU64" s="806">
        <f t="shared" si="434"/>
        <v>0.49999999999999994</v>
      </c>
      <c r="SV64" s="806">
        <f t="shared" si="435"/>
        <v>0.49999999999999994</v>
      </c>
      <c r="SW64" s="806">
        <f t="shared" si="436"/>
        <v>0.49999999999999994</v>
      </c>
      <c r="SX64" s="806">
        <f t="shared" si="437"/>
        <v>0.49999999999999994</v>
      </c>
      <c r="SY64" s="806">
        <f t="shared" si="438"/>
        <v>0.49999999999999994</v>
      </c>
      <c r="SZ64" s="806">
        <f t="shared" si="439"/>
        <v>0.49999999999999994</v>
      </c>
      <c r="TA64" s="806"/>
      <c r="TB64" s="806">
        <f t="shared" si="440"/>
        <v>0.49999999999999994</v>
      </c>
      <c r="TC64" s="806">
        <f t="shared" si="441"/>
        <v>0.49999999999999994</v>
      </c>
      <c r="TD64" s="806">
        <f t="shared" si="442"/>
        <v>0.49999999999999994</v>
      </c>
      <c r="TE64" s="806">
        <f t="shared" si="443"/>
        <v>0.49999999999999994</v>
      </c>
      <c r="TF64" s="806">
        <f t="shared" si="444"/>
        <v>0.49999999999999994</v>
      </c>
      <c r="TG64" s="806">
        <f t="shared" si="445"/>
        <v>0.49999999999999994</v>
      </c>
      <c r="TH64" s="806">
        <f t="shared" si="446"/>
        <v>0.49999999999999994</v>
      </c>
      <c r="TI64" s="806">
        <f t="shared" si="447"/>
        <v>0.49999999999999994</v>
      </c>
      <c r="TJ64" s="806">
        <f t="shared" si="448"/>
        <v>0.49999999999999994</v>
      </c>
      <c r="TK64" s="806"/>
      <c r="TL64" s="806">
        <f t="shared" si="449"/>
        <v>0.49999999999999994</v>
      </c>
      <c r="TM64" s="806">
        <f t="shared" si="450"/>
        <v>0.49999999999999994</v>
      </c>
      <c r="TN64" s="806">
        <f t="shared" si="451"/>
        <v>0.49999999999999994</v>
      </c>
      <c r="TO64" s="806">
        <f t="shared" si="452"/>
        <v>0.49999999999999994</v>
      </c>
      <c r="TP64" s="806">
        <f t="shared" si="453"/>
        <v>0.49999999999999994</v>
      </c>
      <c r="TQ64" s="806">
        <f t="shared" si="454"/>
        <v>0.49999999999999994</v>
      </c>
      <c r="TR64" s="806">
        <f t="shared" si="455"/>
        <v>0.49999999999999994</v>
      </c>
      <c r="TS64" s="806">
        <f t="shared" si="456"/>
        <v>0.49999999999999994</v>
      </c>
      <c r="TT64" s="806">
        <f t="shared" si="457"/>
        <v>0.49999999999999994</v>
      </c>
      <c r="TU64" s="806"/>
      <c r="TV64" s="806">
        <f t="shared" si="458"/>
        <v>0.49999999999999994</v>
      </c>
      <c r="TW64" s="806">
        <f t="shared" si="459"/>
        <v>0.49999999999999994</v>
      </c>
      <c r="TX64" s="806">
        <f t="shared" si="460"/>
        <v>0.49999999999999994</v>
      </c>
      <c r="TY64" s="806">
        <f t="shared" si="461"/>
        <v>0.49999999999999994</v>
      </c>
      <c r="TZ64" s="806">
        <f t="shared" si="462"/>
        <v>0.49999999999999994</v>
      </c>
      <c r="UA64" s="806">
        <f t="shared" si="463"/>
        <v>0.49999999999999994</v>
      </c>
      <c r="UB64" s="806">
        <f t="shared" si="464"/>
        <v>0.49999999999999994</v>
      </c>
      <c r="UC64" s="806">
        <f t="shared" si="465"/>
        <v>0.49999999999999994</v>
      </c>
      <c r="UD64" s="1439">
        <f t="shared" si="466"/>
        <v>0.49999999999999994</v>
      </c>
    </row>
    <row r="65" spans="3:550" s="7" customFormat="1" x14ac:dyDescent="0.25">
      <c r="C65" s="21"/>
      <c r="D65" s="1308">
        <v>44040</v>
      </c>
      <c r="E65" s="233">
        <v>0</v>
      </c>
      <c r="F65" s="1392">
        <v>0</v>
      </c>
      <c r="G65" s="1392">
        <v>0</v>
      </c>
      <c r="H65" s="1392">
        <v>0</v>
      </c>
      <c r="I65" s="1392">
        <v>0</v>
      </c>
      <c r="J65" s="1392">
        <v>0</v>
      </c>
      <c r="K65" s="1392">
        <v>0</v>
      </c>
      <c r="L65" s="1392">
        <v>0</v>
      </c>
      <c r="M65" s="1392">
        <v>0</v>
      </c>
      <c r="N65" s="1392">
        <v>0</v>
      </c>
      <c r="O65" s="1392">
        <v>0</v>
      </c>
      <c r="P65" s="1392">
        <v>0</v>
      </c>
      <c r="Q65" s="1392">
        <v>0</v>
      </c>
      <c r="R65" s="1392">
        <v>0</v>
      </c>
      <c r="S65" s="1392">
        <v>0</v>
      </c>
      <c r="T65" s="1392">
        <v>0</v>
      </c>
      <c r="U65" s="1392">
        <v>0</v>
      </c>
      <c r="V65" s="1392">
        <v>0</v>
      </c>
      <c r="W65" s="1392">
        <v>0</v>
      </c>
      <c r="X65" s="1392">
        <v>0</v>
      </c>
      <c r="Y65" s="1392">
        <v>0</v>
      </c>
      <c r="Z65" s="1392">
        <v>0</v>
      </c>
      <c r="AA65" s="1392">
        <v>0</v>
      </c>
      <c r="AB65" s="1392">
        <v>0</v>
      </c>
      <c r="AC65" s="1392">
        <v>0</v>
      </c>
      <c r="AD65" s="1392">
        <v>0</v>
      </c>
      <c r="AE65" s="1392">
        <v>0</v>
      </c>
      <c r="AF65" s="1392">
        <v>0</v>
      </c>
      <c r="AG65" s="1392">
        <v>0</v>
      </c>
      <c r="AH65" s="1392">
        <v>0</v>
      </c>
      <c r="AI65" s="1392">
        <v>0</v>
      </c>
      <c r="AJ65" s="1392">
        <v>0</v>
      </c>
      <c r="AK65" s="1392">
        <v>0</v>
      </c>
      <c r="AL65" s="1392">
        <v>0</v>
      </c>
      <c r="AM65" s="1392">
        <v>0</v>
      </c>
      <c r="AN65" s="1392">
        <v>0</v>
      </c>
      <c r="AO65" s="1392">
        <v>0</v>
      </c>
      <c r="AP65" s="1392">
        <v>0</v>
      </c>
      <c r="AQ65" s="1392">
        <v>0</v>
      </c>
      <c r="AR65" s="1392">
        <v>0</v>
      </c>
      <c r="AS65" s="1392">
        <v>0</v>
      </c>
      <c r="AT65" s="1392">
        <v>0</v>
      </c>
      <c r="AU65" s="1392">
        <v>0</v>
      </c>
      <c r="AV65" s="1392">
        <v>0</v>
      </c>
      <c r="AW65" s="1392">
        <v>0</v>
      </c>
      <c r="AX65" s="1392">
        <v>0</v>
      </c>
      <c r="AY65" s="1392">
        <v>0</v>
      </c>
      <c r="AZ65" s="1392">
        <v>0</v>
      </c>
      <c r="BA65" s="1392">
        <v>0</v>
      </c>
      <c r="BB65" s="1392">
        <v>0</v>
      </c>
      <c r="BC65" s="1392">
        <v>0</v>
      </c>
      <c r="BD65" s="1392">
        <v>0</v>
      </c>
      <c r="BE65" s="1392">
        <v>0</v>
      </c>
      <c r="BF65" s="1392">
        <v>0</v>
      </c>
      <c r="BG65" s="1392">
        <v>0</v>
      </c>
      <c r="BH65" s="1392">
        <v>0</v>
      </c>
      <c r="BI65" s="1392">
        <v>0</v>
      </c>
      <c r="BJ65" s="1392">
        <v>0</v>
      </c>
      <c r="BK65" s="1392">
        <v>0</v>
      </c>
      <c r="BL65" s="1392">
        <v>0</v>
      </c>
      <c r="BM65" s="1392">
        <v>0</v>
      </c>
      <c r="BN65" s="1392">
        <v>0</v>
      </c>
      <c r="BO65" s="1392">
        <v>0</v>
      </c>
      <c r="BP65" s="1392">
        <v>0</v>
      </c>
      <c r="BQ65" s="1392">
        <v>0</v>
      </c>
      <c r="BR65" s="1392">
        <v>0</v>
      </c>
      <c r="BS65" s="1392">
        <v>0</v>
      </c>
      <c r="BT65" s="1392">
        <v>0</v>
      </c>
      <c r="BU65" s="1392">
        <v>0</v>
      </c>
      <c r="BV65" s="1392">
        <v>0</v>
      </c>
      <c r="BW65" s="1392">
        <v>0</v>
      </c>
      <c r="BX65" s="1392">
        <v>0</v>
      </c>
      <c r="BY65" s="1392">
        <v>0</v>
      </c>
      <c r="BZ65" s="1392">
        <v>0</v>
      </c>
      <c r="CA65" s="1392">
        <v>0</v>
      </c>
      <c r="CB65" s="1392">
        <v>0</v>
      </c>
      <c r="CC65" s="1392">
        <v>0</v>
      </c>
      <c r="CD65" s="1392">
        <v>0</v>
      </c>
      <c r="CE65" s="1392">
        <v>0</v>
      </c>
      <c r="CF65" s="1392">
        <v>0</v>
      </c>
      <c r="CG65" s="1392">
        <v>0</v>
      </c>
      <c r="CH65" s="1392">
        <v>0</v>
      </c>
      <c r="CI65" s="1392">
        <v>0</v>
      </c>
      <c r="CJ65" s="1392">
        <v>0</v>
      </c>
      <c r="CK65" s="1392">
        <v>0</v>
      </c>
      <c r="CL65" s="1392">
        <v>0</v>
      </c>
      <c r="CM65" s="1392">
        <v>0</v>
      </c>
      <c r="CN65" s="1392">
        <v>0</v>
      </c>
      <c r="CO65" s="1392">
        <v>0</v>
      </c>
      <c r="CP65" s="1392">
        <v>0</v>
      </c>
      <c r="CQ65" s="1392">
        <v>0</v>
      </c>
      <c r="CR65" s="1392">
        <v>0</v>
      </c>
      <c r="CS65" s="1392">
        <v>0</v>
      </c>
      <c r="CT65" s="1392">
        <v>0</v>
      </c>
      <c r="CU65" s="1392">
        <v>0</v>
      </c>
      <c r="CV65" s="1392">
        <v>0</v>
      </c>
      <c r="CW65" s="1392">
        <v>0</v>
      </c>
      <c r="CX65" s="1392">
        <v>0</v>
      </c>
      <c r="CY65" s="1392">
        <v>0</v>
      </c>
      <c r="CZ65" s="1392">
        <v>0</v>
      </c>
      <c r="DA65" s="1392">
        <v>0</v>
      </c>
      <c r="DB65" s="1392">
        <v>0</v>
      </c>
      <c r="DC65" s="1392">
        <v>0</v>
      </c>
      <c r="DD65" s="1392">
        <v>0</v>
      </c>
      <c r="DE65" s="1392">
        <v>0</v>
      </c>
      <c r="DF65" s="1392">
        <v>0</v>
      </c>
      <c r="DG65" s="1392">
        <v>0</v>
      </c>
      <c r="DH65" s="1392">
        <v>0</v>
      </c>
      <c r="DI65" s="1392">
        <v>0</v>
      </c>
      <c r="DJ65" s="1392">
        <v>0</v>
      </c>
      <c r="DK65" s="1392">
        <v>0</v>
      </c>
      <c r="DL65" s="1392">
        <v>0</v>
      </c>
      <c r="DM65" s="1392">
        <v>0</v>
      </c>
      <c r="DN65" s="1392">
        <v>0</v>
      </c>
      <c r="DO65" s="1392">
        <v>0</v>
      </c>
      <c r="DP65" s="1392">
        <v>0</v>
      </c>
      <c r="DQ65" s="1392">
        <v>0</v>
      </c>
      <c r="DR65" s="1392">
        <v>0</v>
      </c>
      <c r="DS65" s="1392">
        <v>0</v>
      </c>
      <c r="DT65" s="1392">
        <v>0</v>
      </c>
      <c r="DU65" s="1392">
        <v>0</v>
      </c>
      <c r="DV65" s="1392">
        <v>0</v>
      </c>
      <c r="DW65" s="1392">
        <v>0</v>
      </c>
      <c r="DX65" s="1392">
        <v>0</v>
      </c>
      <c r="DY65" s="1392">
        <v>0</v>
      </c>
      <c r="DZ65" s="1392">
        <v>0</v>
      </c>
      <c r="EA65" s="1392">
        <v>0</v>
      </c>
      <c r="EB65" s="1392">
        <v>0</v>
      </c>
      <c r="EC65" s="1392">
        <v>0</v>
      </c>
      <c r="ED65" s="1392">
        <v>0</v>
      </c>
      <c r="EE65" s="1392">
        <v>0</v>
      </c>
      <c r="EF65" s="1392">
        <v>0</v>
      </c>
      <c r="EG65" s="1392">
        <v>0</v>
      </c>
      <c r="EH65" s="1392">
        <v>0</v>
      </c>
      <c r="EI65" s="1392">
        <v>0</v>
      </c>
      <c r="EJ65" s="1392">
        <v>0</v>
      </c>
      <c r="EK65" s="1392">
        <v>0</v>
      </c>
      <c r="EL65" s="1392">
        <v>0</v>
      </c>
      <c r="EM65" s="1392">
        <v>0</v>
      </c>
      <c r="EN65" s="1392">
        <v>0</v>
      </c>
      <c r="EO65" s="1392">
        <v>0</v>
      </c>
      <c r="EP65" s="1392">
        <v>0</v>
      </c>
      <c r="EQ65" s="1392">
        <v>0</v>
      </c>
      <c r="ER65" s="1393">
        <v>0</v>
      </c>
      <c r="ES65" s="377"/>
      <c r="ET65" s="316">
        <f t="shared" si="335"/>
        <v>1</v>
      </c>
      <c r="EU65" s="1392">
        <f t="shared" si="20"/>
        <v>1</v>
      </c>
      <c r="EV65" s="1392">
        <f t="shared" si="21"/>
        <v>1</v>
      </c>
      <c r="EW65" s="1392">
        <f t="shared" si="22"/>
        <v>1</v>
      </c>
      <c r="EX65" s="1392">
        <f t="shared" si="23"/>
        <v>1</v>
      </c>
      <c r="EY65" s="1392">
        <f t="shared" si="24"/>
        <v>1</v>
      </c>
      <c r="EZ65" s="1392">
        <f t="shared" si="25"/>
        <v>1</v>
      </c>
      <c r="FA65" s="1392">
        <f t="shared" si="26"/>
        <v>1</v>
      </c>
      <c r="FB65" s="1392">
        <f t="shared" si="27"/>
        <v>1</v>
      </c>
      <c r="FC65" s="1392">
        <f t="shared" si="28"/>
        <v>1</v>
      </c>
      <c r="FD65" s="1392">
        <f t="shared" si="29"/>
        <v>1</v>
      </c>
      <c r="FE65" s="1392">
        <f t="shared" si="30"/>
        <v>1</v>
      </c>
      <c r="FF65" s="1392">
        <f t="shared" si="31"/>
        <v>1</v>
      </c>
      <c r="FG65" s="1392">
        <f t="shared" si="32"/>
        <v>1</v>
      </c>
      <c r="FH65" s="1392">
        <f t="shared" si="33"/>
        <v>1</v>
      </c>
      <c r="FI65" s="1392">
        <f t="shared" si="34"/>
        <v>1</v>
      </c>
      <c r="FJ65" s="1392">
        <f t="shared" si="35"/>
        <v>1</v>
      </c>
      <c r="FK65" s="1392">
        <f t="shared" si="36"/>
        <v>1</v>
      </c>
      <c r="FL65" s="1392">
        <f t="shared" si="37"/>
        <v>1</v>
      </c>
      <c r="FM65" s="1392">
        <f t="shared" si="38"/>
        <v>1</v>
      </c>
      <c r="FN65" s="1392">
        <f t="shared" si="39"/>
        <v>1</v>
      </c>
      <c r="FO65" s="1392">
        <f t="shared" si="40"/>
        <v>1</v>
      </c>
      <c r="FP65" s="1392">
        <f t="shared" si="41"/>
        <v>1</v>
      </c>
      <c r="FQ65" s="1392">
        <f t="shared" si="42"/>
        <v>1</v>
      </c>
      <c r="FR65" s="1392">
        <f t="shared" si="43"/>
        <v>1</v>
      </c>
      <c r="FS65" s="1392">
        <f t="shared" si="44"/>
        <v>1</v>
      </c>
      <c r="FT65" s="1392">
        <f t="shared" si="45"/>
        <v>1</v>
      </c>
      <c r="FU65" s="1392">
        <f t="shared" si="46"/>
        <v>1</v>
      </c>
      <c r="FV65" s="1392">
        <f t="shared" si="47"/>
        <v>1</v>
      </c>
      <c r="FW65" s="1392">
        <f t="shared" si="48"/>
        <v>1</v>
      </c>
      <c r="FX65" s="1392">
        <f t="shared" si="49"/>
        <v>1</v>
      </c>
      <c r="FY65" s="1392">
        <f t="shared" si="50"/>
        <v>1</v>
      </c>
      <c r="FZ65" s="1392">
        <f t="shared" si="51"/>
        <v>1</v>
      </c>
      <c r="GA65" s="1392">
        <f t="shared" si="52"/>
        <v>1</v>
      </c>
      <c r="GB65" s="1392">
        <f t="shared" si="53"/>
        <v>1</v>
      </c>
      <c r="GC65" s="1392">
        <f t="shared" si="54"/>
        <v>1</v>
      </c>
      <c r="GD65" s="1392">
        <f t="shared" si="55"/>
        <v>1</v>
      </c>
      <c r="GE65" s="1392">
        <f t="shared" si="56"/>
        <v>1</v>
      </c>
      <c r="GF65" s="1392">
        <f t="shared" si="57"/>
        <v>1</v>
      </c>
      <c r="GG65" s="1392">
        <f t="shared" si="58"/>
        <v>1</v>
      </c>
      <c r="GH65" s="1392">
        <f t="shared" si="59"/>
        <v>1</v>
      </c>
      <c r="GI65" s="1392">
        <f t="shared" si="60"/>
        <v>1</v>
      </c>
      <c r="GJ65" s="1392">
        <f t="shared" si="61"/>
        <v>1</v>
      </c>
      <c r="GK65" s="1392">
        <f t="shared" si="62"/>
        <v>1</v>
      </c>
      <c r="GL65" s="1392">
        <f t="shared" si="63"/>
        <v>1</v>
      </c>
      <c r="GM65" s="1392">
        <f t="shared" si="64"/>
        <v>1</v>
      </c>
      <c r="GN65" s="1392">
        <f t="shared" si="65"/>
        <v>1</v>
      </c>
      <c r="GO65" s="1392">
        <f t="shared" si="66"/>
        <v>1</v>
      </c>
      <c r="GP65" s="1392">
        <f t="shared" si="67"/>
        <v>1</v>
      </c>
      <c r="GQ65" s="1392">
        <f t="shared" si="68"/>
        <v>1</v>
      </c>
      <c r="GR65" s="1392">
        <f t="shared" si="69"/>
        <v>1</v>
      </c>
      <c r="GS65" s="1392">
        <f t="shared" si="70"/>
        <v>1</v>
      </c>
      <c r="GT65" s="1392">
        <f t="shared" si="71"/>
        <v>1</v>
      </c>
      <c r="GU65" s="1392">
        <f t="shared" si="72"/>
        <v>1</v>
      </c>
      <c r="GV65" s="1392">
        <f t="shared" si="73"/>
        <v>1</v>
      </c>
      <c r="GW65" s="1392">
        <f t="shared" si="74"/>
        <v>1</v>
      </c>
      <c r="GX65" s="1392">
        <f t="shared" si="75"/>
        <v>1</v>
      </c>
      <c r="GY65" s="1392">
        <f t="shared" si="76"/>
        <v>1</v>
      </c>
      <c r="GZ65" s="1392">
        <f t="shared" si="77"/>
        <v>1</v>
      </c>
      <c r="HA65" s="1392">
        <f t="shared" si="78"/>
        <v>1</v>
      </c>
      <c r="HB65" s="1392">
        <f t="shared" si="79"/>
        <v>1</v>
      </c>
      <c r="HC65" s="1392">
        <f t="shared" si="80"/>
        <v>1</v>
      </c>
      <c r="HD65" s="1392">
        <f t="shared" si="81"/>
        <v>1</v>
      </c>
      <c r="HE65" s="1392">
        <f t="shared" si="82"/>
        <v>1</v>
      </c>
      <c r="HF65" s="1392">
        <f t="shared" si="83"/>
        <v>1</v>
      </c>
      <c r="HG65" s="1392">
        <f t="shared" si="84"/>
        <v>1</v>
      </c>
      <c r="HH65" s="1392">
        <f t="shared" si="85"/>
        <v>1</v>
      </c>
      <c r="HI65" s="1392">
        <f t="shared" si="86"/>
        <v>1</v>
      </c>
      <c r="HJ65" s="1392">
        <f t="shared" si="87"/>
        <v>1</v>
      </c>
      <c r="HK65" s="1392">
        <f t="shared" si="88"/>
        <v>1</v>
      </c>
      <c r="HL65" s="1392">
        <f t="shared" si="89"/>
        <v>1</v>
      </c>
      <c r="HM65" s="1392">
        <f t="shared" si="90"/>
        <v>1</v>
      </c>
      <c r="HN65" s="1392">
        <f t="shared" si="91"/>
        <v>1</v>
      </c>
      <c r="HO65" s="1392">
        <f t="shared" si="92"/>
        <v>1</v>
      </c>
      <c r="HP65" s="1392">
        <f t="shared" si="93"/>
        <v>1</v>
      </c>
      <c r="HQ65" s="1392">
        <f t="shared" si="94"/>
        <v>1</v>
      </c>
      <c r="HR65" s="1392">
        <f t="shared" si="95"/>
        <v>1</v>
      </c>
      <c r="HS65" s="1392">
        <f t="shared" si="96"/>
        <v>1</v>
      </c>
      <c r="HT65" s="1392">
        <f t="shared" si="97"/>
        <v>1</v>
      </c>
      <c r="HU65" s="1392">
        <f t="shared" si="98"/>
        <v>1</v>
      </c>
      <c r="HV65" s="1392">
        <f t="shared" si="99"/>
        <v>1</v>
      </c>
      <c r="HW65" s="1392">
        <f t="shared" si="100"/>
        <v>1</v>
      </c>
      <c r="HX65" s="1392">
        <f t="shared" si="101"/>
        <v>1</v>
      </c>
      <c r="HY65" s="1392">
        <f t="shared" si="102"/>
        <v>1</v>
      </c>
      <c r="HZ65" s="1392">
        <f t="shared" si="103"/>
        <v>1</v>
      </c>
      <c r="IA65" s="1392">
        <f t="shared" si="104"/>
        <v>1</v>
      </c>
      <c r="IB65" s="1392">
        <f t="shared" si="105"/>
        <v>1</v>
      </c>
      <c r="IC65" s="1392">
        <f t="shared" si="106"/>
        <v>1</v>
      </c>
      <c r="ID65" s="1392">
        <f t="shared" si="107"/>
        <v>1</v>
      </c>
      <c r="IE65" s="1392">
        <f t="shared" si="108"/>
        <v>1</v>
      </c>
      <c r="IF65" s="1392">
        <f t="shared" si="109"/>
        <v>1</v>
      </c>
      <c r="IG65" s="1392">
        <f t="shared" si="110"/>
        <v>1</v>
      </c>
      <c r="IH65" s="1392">
        <f t="shared" si="111"/>
        <v>1</v>
      </c>
      <c r="II65" s="1392">
        <f t="shared" si="112"/>
        <v>1</v>
      </c>
      <c r="IJ65" s="1392">
        <f t="shared" si="113"/>
        <v>1</v>
      </c>
      <c r="IK65" s="1392">
        <f t="shared" si="114"/>
        <v>1</v>
      </c>
      <c r="IL65" s="1392">
        <f t="shared" si="115"/>
        <v>1</v>
      </c>
      <c r="IM65" s="1392">
        <f t="shared" si="116"/>
        <v>1</v>
      </c>
      <c r="IN65" s="1392">
        <f t="shared" si="117"/>
        <v>1</v>
      </c>
      <c r="IO65" s="1392">
        <f t="shared" si="118"/>
        <v>1</v>
      </c>
      <c r="IP65" s="1392">
        <f t="shared" si="119"/>
        <v>1</v>
      </c>
      <c r="IQ65" s="1392">
        <f t="shared" si="120"/>
        <v>1</v>
      </c>
      <c r="IR65" s="1392">
        <f t="shared" si="121"/>
        <v>1</v>
      </c>
      <c r="IS65" s="1392">
        <f t="shared" si="122"/>
        <v>1</v>
      </c>
      <c r="IT65" s="1392">
        <f t="shared" si="123"/>
        <v>1</v>
      </c>
      <c r="IU65" s="1392">
        <f t="shared" si="124"/>
        <v>1</v>
      </c>
      <c r="IV65" s="1392">
        <f t="shared" si="125"/>
        <v>1</v>
      </c>
      <c r="IW65" s="1392">
        <f t="shared" si="126"/>
        <v>1</v>
      </c>
      <c r="IX65" s="1392">
        <f t="shared" si="127"/>
        <v>1</v>
      </c>
      <c r="IY65" s="1392">
        <f t="shared" si="128"/>
        <v>1</v>
      </c>
      <c r="IZ65" s="1392">
        <f t="shared" si="129"/>
        <v>1</v>
      </c>
      <c r="JA65" s="1392">
        <f t="shared" si="130"/>
        <v>1</v>
      </c>
      <c r="JB65" s="1392">
        <f t="shared" si="131"/>
        <v>1</v>
      </c>
      <c r="JC65" s="1392">
        <f t="shared" si="132"/>
        <v>1</v>
      </c>
      <c r="JD65" s="1392">
        <f t="shared" si="133"/>
        <v>1</v>
      </c>
      <c r="JE65" s="1392">
        <f t="shared" si="134"/>
        <v>1</v>
      </c>
      <c r="JF65" s="1392">
        <f t="shared" si="135"/>
        <v>1</v>
      </c>
      <c r="JG65" s="1392">
        <f t="shared" si="136"/>
        <v>1</v>
      </c>
      <c r="JH65" s="1392">
        <f t="shared" si="137"/>
        <v>1</v>
      </c>
      <c r="JI65" s="1392">
        <f t="shared" si="138"/>
        <v>1</v>
      </c>
      <c r="JJ65" s="1392">
        <f t="shared" si="139"/>
        <v>1</v>
      </c>
      <c r="JK65" s="1392">
        <f t="shared" si="140"/>
        <v>1</v>
      </c>
      <c r="JL65" s="1392">
        <f t="shared" si="141"/>
        <v>1</v>
      </c>
      <c r="JM65" s="1392">
        <f t="shared" si="142"/>
        <v>1</v>
      </c>
      <c r="JN65" s="1392">
        <f t="shared" si="143"/>
        <v>1</v>
      </c>
      <c r="JO65" s="1392">
        <f t="shared" si="144"/>
        <v>1</v>
      </c>
      <c r="JP65" s="1392">
        <f t="shared" si="145"/>
        <v>1</v>
      </c>
      <c r="JQ65" s="1392">
        <f t="shared" si="146"/>
        <v>1</v>
      </c>
      <c r="JR65" s="1392">
        <f t="shared" si="147"/>
        <v>1</v>
      </c>
      <c r="JS65" s="1392">
        <f t="shared" si="148"/>
        <v>1</v>
      </c>
      <c r="JT65" s="1392">
        <f t="shared" si="149"/>
        <v>1</v>
      </c>
      <c r="JU65" s="1392">
        <f t="shared" si="150"/>
        <v>1</v>
      </c>
      <c r="JV65" s="1392">
        <f t="shared" si="151"/>
        <v>1</v>
      </c>
      <c r="JW65" s="1392">
        <f t="shared" si="152"/>
        <v>1</v>
      </c>
      <c r="JX65" s="1392">
        <f t="shared" si="153"/>
        <v>1</v>
      </c>
      <c r="JY65" s="1392">
        <f t="shared" si="154"/>
        <v>1</v>
      </c>
      <c r="JZ65" s="1392">
        <f t="shared" si="155"/>
        <v>1</v>
      </c>
      <c r="KA65" s="1392">
        <f t="shared" si="156"/>
        <v>1</v>
      </c>
      <c r="KB65" s="1392">
        <f t="shared" si="157"/>
        <v>1</v>
      </c>
      <c r="KC65" s="1392">
        <f t="shared" si="158"/>
        <v>1</v>
      </c>
      <c r="KD65" s="1392">
        <f t="shared" si="159"/>
        <v>1</v>
      </c>
      <c r="KE65" s="1392">
        <f t="shared" si="160"/>
        <v>1</v>
      </c>
      <c r="KF65" s="1392">
        <f t="shared" si="161"/>
        <v>1</v>
      </c>
      <c r="KG65" s="1399">
        <f t="shared" si="162"/>
        <v>1</v>
      </c>
      <c r="KH65" s="1406">
        <f t="shared" si="163"/>
        <v>144</v>
      </c>
      <c r="KI65" s="377"/>
      <c r="KJ65" s="1444">
        <f t="shared" si="164"/>
        <v>19.879253198304003</v>
      </c>
      <c r="KK65" s="49">
        <f t="shared" si="165"/>
        <v>0</v>
      </c>
      <c r="KL65" s="377"/>
      <c r="KM65" s="908">
        <f t="shared" si="166"/>
        <v>6.9444444444444441E-3</v>
      </c>
      <c r="KN65" s="1411">
        <f t="shared" si="167"/>
        <v>6.9444444444444441E-3</v>
      </c>
      <c r="KO65" s="1411">
        <f t="shared" si="168"/>
        <v>6.9444444444444441E-3</v>
      </c>
      <c r="KP65" s="1411">
        <f t="shared" si="169"/>
        <v>6.9444444444444441E-3</v>
      </c>
      <c r="KQ65" s="1411">
        <f t="shared" si="170"/>
        <v>6.9444444444444441E-3</v>
      </c>
      <c r="KR65" s="1411">
        <f t="shared" si="171"/>
        <v>6.9444444444444441E-3</v>
      </c>
      <c r="KS65" s="1411">
        <f t="shared" si="172"/>
        <v>6.9444444444444441E-3</v>
      </c>
      <c r="KT65" s="1411">
        <f t="shared" si="173"/>
        <v>6.9444444444444441E-3</v>
      </c>
      <c r="KU65" s="1411">
        <f t="shared" si="174"/>
        <v>6.9444444444444441E-3</v>
      </c>
      <c r="KV65" s="1411">
        <f t="shared" si="175"/>
        <v>6.9444444444444441E-3</v>
      </c>
      <c r="KW65" s="1411">
        <f t="shared" si="176"/>
        <v>6.9444444444444441E-3</v>
      </c>
      <c r="KX65" s="1411">
        <f t="shared" si="177"/>
        <v>6.9444444444444441E-3</v>
      </c>
      <c r="KY65" s="1411">
        <f t="shared" si="178"/>
        <v>6.9444444444444441E-3</v>
      </c>
      <c r="KZ65" s="1411">
        <f t="shared" si="179"/>
        <v>6.9444444444444441E-3</v>
      </c>
      <c r="LA65" s="1411">
        <f t="shared" si="180"/>
        <v>6.9444444444444441E-3</v>
      </c>
      <c r="LB65" s="1411">
        <f t="shared" si="181"/>
        <v>6.9444444444444441E-3</v>
      </c>
      <c r="LC65" s="1411">
        <f t="shared" si="182"/>
        <v>6.9444444444444441E-3</v>
      </c>
      <c r="LD65" s="1411">
        <f t="shared" si="183"/>
        <v>6.9444444444444441E-3</v>
      </c>
      <c r="LE65" s="1411">
        <f t="shared" si="184"/>
        <v>6.9444444444444441E-3</v>
      </c>
      <c r="LF65" s="1411">
        <f t="shared" si="185"/>
        <v>6.9444444444444441E-3</v>
      </c>
      <c r="LG65" s="1411">
        <f t="shared" si="186"/>
        <v>6.9444444444444441E-3</v>
      </c>
      <c r="LH65" s="1411">
        <f t="shared" si="187"/>
        <v>6.9444444444444441E-3</v>
      </c>
      <c r="LI65" s="1411">
        <f t="shared" si="188"/>
        <v>6.9444444444444441E-3</v>
      </c>
      <c r="LJ65" s="1411">
        <f t="shared" si="189"/>
        <v>6.9444444444444441E-3</v>
      </c>
      <c r="LK65" s="1411">
        <f t="shared" si="190"/>
        <v>6.9444444444444441E-3</v>
      </c>
      <c r="LL65" s="1411">
        <f t="shared" si="191"/>
        <v>6.9444444444444441E-3</v>
      </c>
      <c r="LM65" s="1411">
        <f t="shared" si="192"/>
        <v>6.9444444444444441E-3</v>
      </c>
      <c r="LN65" s="1411">
        <f t="shared" si="193"/>
        <v>6.9444444444444441E-3</v>
      </c>
      <c r="LO65" s="1411">
        <f t="shared" si="194"/>
        <v>6.9444444444444441E-3</v>
      </c>
      <c r="LP65" s="1411">
        <f t="shared" si="195"/>
        <v>6.9444444444444441E-3</v>
      </c>
      <c r="LQ65" s="1411">
        <f t="shared" si="196"/>
        <v>6.9444444444444441E-3</v>
      </c>
      <c r="LR65" s="1411">
        <f t="shared" si="197"/>
        <v>6.9444444444444441E-3</v>
      </c>
      <c r="LS65" s="1411">
        <f t="shared" si="198"/>
        <v>6.9444444444444441E-3</v>
      </c>
      <c r="LT65" s="1411">
        <f t="shared" si="199"/>
        <v>6.9444444444444441E-3</v>
      </c>
      <c r="LU65" s="1411">
        <f t="shared" si="200"/>
        <v>6.9444444444444441E-3</v>
      </c>
      <c r="LV65" s="1411">
        <f t="shared" si="201"/>
        <v>6.9444444444444441E-3</v>
      </c>
      <c r="LW65" s="1411">
        <f t="shared" si="202"/>
        <v>6.9444444444444441E-3</v>
      </c>
      <c r="LX65" s="1411">
        <f t="shared" si="203"/>
        <v>6.9444444444444441E-3</v>
      </c>
      <c r="LY65" s="1411">
        <f t="shared" si="204"/>
        <v>6.9444444444444441E-3</v>
      </c>
      <c r="LZ65" s="1411">
        <f t="shared" si="205"/>
        <v>6.9444444444444441E-3</v>
      </c>
      <c r="MA65" s="1411">
        <f t="shared" si="206"/>
        <v>6.9444444444444441E-3</v>
      </c>
      <c r="MB65" s="1411">
        <f t="shared" si="207"/>
        <v>6.9444444444444441E-3</v>
      </c>
      <c r="MC65" s="1411">
        <f t="shared" si="208"/>
        <v>6.9444444444444441E-3</v>
      </c>
      <c r="MD65" s="1411">
        <f t="shared" si="209"/>
        <v>6.9444444444444441E-3</v>
      </c>
      <c r="ME65" s="1411">
        <f t="shared" si="210"/>
        <v>6.9444444444444441E-3</v>
      </c>
      <c r="MF65" s="1411">
        <f t="shared" si="211"/>
        <v>6.9444444444444441E-3</v>
      </c>
      <c r="MG65" s="1411">
        <f t="shared" si="212"/>
        <v>6.9444444444444441E-3</v>
      </c>
      <c r="MH65" s="1411">
        <f t="shared" si="213"/>
        <v>6.9444444444444441E-3</v>
      </c>
      <c r="MI65" s="1411">
        <f t="shared" si="214"/>
        <v>6.9444444444444441E-3</v>
      </c>
      <c r="MJ65" s="1411">
        <f t="shared" si="215"/>
        <v>6.9444444444444441E-3</v>
      </c>
      <c r="MK65" s="1411">
        <f t="shared" si="216"/>
        <v>6.9444444444444441E-3</v>
      </c>
      <c r="ML65" s="1411">
        <f t="shared" si="217"/>
        <v>6.9444444444444441E-3</v>
      </c>
      <c r="MM65" s="1411">
        <f t="shared" si="218"/>
        <v>6.9444444444444441E-3</v>
      </c>
      <c r="MN65" s="1411">
        <f t="shared" si="219"/>
        <v>6.9444444444444441E-3</v>
      </c>
      <c r="MO65" s="1411">
        <f t="shared" si="220"/>
        <v>6.9444444444444441E-3</v>
      </c>
      <c r="MP65" s="1411">
        <f t="shared" si="221"/>
        <v>6.9444444444444441E-3</v>
      </c>
      <c r="MQ65" s="1411">
        <f t="shared" si="222"/>
        <v>6.9444444444444441E-3</v>
      </c>
      <c r="MR65" s="1411">
        <f t="shared" si="223"/>
        <v>6.9444444444444441E-3</v>
      </c>
      <c r="MS65" s="1411">
        <f t="shared" si="224"/>
        <v>6.9444444444444441E-3</v>
      </c>
      <c r="MT65" s="1411">
        <f t="shared" si="225"/>
        <v>6.9444444444444441E-3</v>
      </c>
      <c r="MU65" s="1411">
        <f t="shared" si="226"/>
        <v>6.9444444444444441E-3</v>
      </c>
      <c r="MV65" s="1411">
        <f t="shared" si="227"/>
        <v>6.9444444444444441E-3</v>
      </c>
      <c r="MW65" s="1411">
        <f t="shared" si="228"/>
        <v>6.9444444444444441E-3</v>
      </c>
      <c r="MX65" s="1411">
        <f t="shared" si="229"/>
        <v>6.9444444444444441E-3</v>
      </c>
      <c r="MY65" s="1411">
        <f t="shared" si="230"/>
        <v>6.9444444444444441E-3</v>
      </c>
      <c r="MZ65" s="1411">
        <f t="shared" si="231"/>
        <v>6.9444444444444441E-3</v>
      </c>
      <c r="NA65" s="1411">
        <f t="shared" si="232"/>
        <v>6.9444444444444441E-3</v>
      </c>
      <c r="NB65" s="1411">
        <f t="shared" si="233"/>
        <v>6.9444444444444441E-3</v>
      </c>
      <c r="NC65" s="1411">
        <f t="shared" si="234"/>
        <v>6.9444444444444441E-3</v>
      </c>
      <c r="ND65" s="1411">
        <f t="shared" si="235"/>
        <v>6.9444444444444441E-3</v>
      </c>
      <c r="NE65" s="1411">
        <f t="shared" si="236"/>
        <v>6.9444444444444441E-3</v>
      </c>
      <c r="NF65" s="1411">
        <f t="shared" si="237"/>
        <v>6.9444444444444441E-3</v>
      </c>
      <c r="NG65" s="1411">
        <f t="shared" si="238"/>
        <v>6.9444444444444441E-3</v>
      </c>
      <c r="NH65" s="1411">
        <f t="shared" si="239"/>
        <v>6.9444444444444441E-3</v>
      </c>
      <c r="NI65" s="1411">
        <f t="shared" si="240"/>
        <v>6.9444444444444441E-3</v>
      </c>
      <c r="NJ65" s="1411">
        <f t="shared" si="241"/>
        <v>6.9444444444444441E-3</v>
      </c>
      <c r="NK65" s="1411">
        <f t="shared" si="242"/>
        <v>6.9444444444444441E-3</v>
      </c>
      <c r="NL65" s="1411">
        <f t="shared" si="243"/>
        <v>6.9444444444444441E-3</v>
      </c>
      <c r="NM65" s="1411">
        <f t="shared" si="244"/>
        <v>6.9444444444444441E-3</v>
      </c>
      <c r="NN65" s="1411">
        <f t="shared" si="245"/>
        <v>6.9444444444444441E-3</v>
      </c>
      <c r="NO65" s="1411">
        <f t="shared" si="246"/>
        <v>6.9444444444444441E-3</v>
      </c>
      <c r="NP65" s="1411">
        <f t="shared" si="247"/>
        <v>6.9444444444444441E-3</v>
      </c>
      <c r="NQ65" s="1411">
        <f t="shared" si="248"/>
        <v>6.9444444444444441E-3</v>
      </c>
      <c r="NR65" s="1411">
        <f t="shared" si="249"/>
        <v>6.9444444444444441E-3</v>
      </c>
      <c r="NS65" s="1411">
        <f t="shared" si="250"/>
        <v>6.9444444444444441E-3</v>
      </c>
      <c r="NT65" s="1411">
        <f t="shared" si="251"/>
        <v>6.9444444444444441E-3</v>
      </c>
      <c r="NU65" s="1411">
        <f t="shared" si="252"/>
        <v>6.9444444444444441E-3</v>
      </c>
      <c r="NV65" s="1411">
        <f t="shared" si="253"/>
        <v>6.9444444444444441E-3</v>
      </c>
      <c r="NW65" s="1411">
        <f t="shared" si="254"/>
        <v>6.9444444444444441E-3</v>
      </c>
      <c r="NX65" s="1411">
        <f t="shared" si="255"/>
        <v>6.9444444444444441E-3</v>
      </c>
      <c r="NY65" s="1411">
        <f t="shared" si="256"/>
        <v>6.9444444444444441E-3</v>
      </c>
      <c r="NZ65" s="1411">
        <f t="shared" si="257"/>
        <v>6.9444444444444441E-3</v>
      </c>
      <c r="OA65" s="1411">
        <f t="shared" si="258"/>
        <v>6.9444444444444441E-3</v>
      </c>
      <c r="OB65" s="1411">
        <f t="shared" si="259"/>
        <v>6.9444444444444441E-3</v>
      </c>
      <c r="OC65" s="1411">
        <f t="shared" si="260"/>
        <v>6.9444444444444441E-3</v>
      </c>
      <c r="OD65" s="1411">
        <f t="shared" si="261"/>
        <v>6.9444444444444441E-3</v>
      </c>
      <c r="OE65" s="1411">
        <f t="shared" si="262"/>
        <v>6.9444444444444441E-3</v>
      </c>
      <c r="OF65" s="1411">
        <f t="shared" si="263"/>
        <v>6.9444444444444441E-3</v>
      </c>
      <c r="OG65" s="1411">
        <f t="shared" si="264"/>
        <v>6.9444444444444441E-3</v>
      </c>
      <c r="OH65" s="1411">
        <f t="shared" si="265"/>
        <v>6.9444444444444441E-3</v>
      </c>
      <c r="OI65" s="1411">
        <f t="shared" si="266"/>
        <v>6.9444444444444441E-3</v>
      </c>
      <c r="OJ65" s="1411">
        <f t="shared" si="267"/>
        <v>6.9444444444444441E-3</v>
      </c>
      <c r="OK65" s="1411">
        <f t="shared" si="268"/>
        <v>6.9444444444444441E-3</v>
      </c>
      <c r="OL65" s="1411">
        <f t="shared" si="269"/>
        <v>6.9444444444444441E-3</v>
      </c>
      <c r="OM65" s="1411">
        <f t="shared" si="270"/>
        <v>6.9444444444444441E-3</v>
      </c>
      <c r="ON65" s="1411">
        <f t="shared" si="271"/>
        <v>6.9444444444444441E-3</v>
      </c>
      <c r="OO65" s="1411">
        <f t="shared" si="272"/>
        <v>6.9444444444444441E-3</v>
      </c>
      <c r="OP65" s="1411">
        <f t="shared" si="273"/>
        <v>6.9444444444444441E-3</v>
      </c>
      <c r="OQ65" s="1411">
        <f t="shared" si="274"/>
        <v>6.9444444444444441E-3</v>
      </c>
      <c r="OR65" s="1411">
        <f t="shared" si="275"/>
        <v>6.9444444444444441E-3</v>
      </c>
      <c r="OS65" s="1411">
        <f t="shared" si="276"/>
        <v>6.9444444444444441E-3</v>
      </c>
      <c r="OT65" s="1411">
        <f t="shared" si="277"/>
        <v>6.9444444444444441E-3</v>
      </c>
      <c r="OU65" s="1411">
        <f t="shared" si="278"/>
        <v>6.9444444444444441E-3</v>
      </c>
      <c r="OV65" s="1411">
        <f t="shared" si="279"/>
        <v>6.9444444444444441E-3</v>
      </c>
      <c r="OW65" s="1411">
        <f t="shared" si="280"/>
        <v>6.9444444444444441E-3</v>
      </c>
      <c r="OX65" s="1411">
        <f t="shared" si="281"/>
        <v>6.9444444444444441E-3</v>
      </c>
      <c r="OY65" s="1411">
        <f t="shared" si="282"/>
        <v>6.9444444444444441E-3</v>
      </c>
      <c r="OZ65" s="1411">
        <f t="shared" si="283"/>
        <v>6.9444444444444441E-3</v>
      </c>
      <c r="PA65" s="1411">
        <f t="shared" si="284"/>
        <v>6.9444444444444441E-3</v>
      </c>
      <c r="PB65" s="1411">
        <f t="shared" si="285"/>
        <v>6.9444444444444441E-3</v>
      </c>
      <c r="PC65" s="1411">
        <f t="shared" si="286"/>
        <v>6.9444444444444441E-3</v>
      </c>
      <c r="PD65" s="1411">
        <f t="shared" si="287"/>
        <v>6.9444444444444441E-3</v>
      </c>
      <c r="PE65" s="1411">
        <f t="shared" si="288"/>
        <v>6.9444444444444441E-3</v>
      </c>
      <c r="PF65" s="1411">
        <f t="shared" si="289"/>
        <v>6.9444444444444441E-3</v>
      </c>
      <c r="PG65" s="1411">
        <f t="shared" si="290"/>
        <v>6.9444444444444441E-3</v>
      </c>
      <c r="PH65" s="1411">
        <f t="shared" si="291"/>
        <v>6.9444444444444441E-3</v>
      </c>
      <c r="PI65" s="1411">
        <f t="shared" si="292"/>
        <v>6.9444444444444441E-3</v>
      </c>
      <c r="PJ65" s="1411">
        <f t="shared" si="293"/>
        <v>6.9444444444444441E-3</v>
      </c>
      <c r="PK65" s="1411">
        <f t="shared" si="294"/>
        <v>6.9444444444444441E-3</v>
      </c>
      <c r="PL65" s="1411">
        <f t="shared" si="295"/>
        <v>6.9444444444444441E-3</v>
      </c>
      <c r="PM65" s="1411">
        <f t="shared" si="296"/>
        <v>6.9444444444444441E-3</v>
      </c>
      <c r="PN65" s="1411">
        <f t="shared" si="297"/>
        <v>6.9444444444444441E-3</v>
      </c>
      <c r="PO65" s="1411">
        <f t="shared" si="298"/>
        <v>6.9444444444444441E-3</v>
      </c>
      <c r="PP65" s="1411">
        <f t="shared" si="299"/>
        <v>6.9444444444444441E-3</v>
      </c>
      <c r="PQ65" s="1411">
        <f t="shared" si="300"/>
        <v>6.9444444444444441E-3</v>
      </c>
      <c r="PR65" s="1411">
        <f t="shared" si="301"/>
        <v>6.9444444444444441E-3</v>
      </c>
      <c r="PS65" s="1411">
        <f t="shared" si="302"/>
        <v>6.9444444444444441E-3</v>
      </c>
      <c r="PT65" s="1411">
        <f t="shared" si="303"/>
        <v>6.9444444444444441E-3</v>
      </c>
      <c r="PU65" s="1411">
        <f t="shared" si="304"/>
        <v>6.9444444444444441E-3</v>
      </c>
      <c r="PV65" s="1411">
        <f t="shared" si="305"/>
        <v>6.9444444444444441E-3</v>
      </c>
      <c r="PW65" s="1411">
        <f t="shared" si="306"/>
        <v>6.9444444444444441E-3</v>
      </c>
      <c r="PX65" s="1411">
        <f t="shared" si="307"/>
        <v>6.9444444444444441E-3</v>
      </c>
      <c r="PY65" s="1411">
        <f t="shared" si="308"/>
        <v>6.9444444444444441E-3</v>
      </c>
      <c r="PZ65" s="1412">
        <f t="shared" si="309"/>
        <v>6.9444444444444441E-3</v>
      </c>
      <c r="QB65" s="33" t="s">
        <v>1072</v>
      </c>
      <c r="QC65" s="1432">
        <f t="shared" si="336"/>
        <v>0.33333333333333309</v>
      </c>
      <c r="QD65" s="744">
        <f t="shared" si="337"/>
        <v>0.33333333333333309</v>
      </c>
      <c r="QE65" s="1068">
        <f t="shared" si="338"/>
        <v>0.33333333333333309</v>
      </c>
      <c r="QF65" s="744">
        <f t="shared" si="339"/>
        <v>0.33333333333333309</v>
      </c>
      <c r="QG65" s="744">
        <f t="shared" si="340"/>
        <v>0.33333333333333309</v>
      </c>
      <c r="QH65" s="1068">
        <f t="shared" si="341"/>
        <v>0.33333333333333309</v>
      </c>
      <c r="QI65" s="744">
        <f t="shared" si="342"/>
        <v>0.49999999999999917</v>
      </c>
      <c r="QJ65" s="1068">
        <f t="shared" si="343"/>
        <v>0.49999999999999917</v>
      </c>
      <c r="QK65" s="744">
        <f t="shared" si="344"/>
        <v>0.49999999999999917</v>
      </c>
      <c r="QL65" s="1068">
        <f t="shared" si="345"/>
        <v>0.49999999999999917</v>
      </c>
      <c r="QM65" s="744">
        <f t="shared" si="346"/>
        <v>0.49999999999999917</v>
      </c>
      <c r="QN65" s="1068">
        <f t="shared" si="347"/>
        <v>0.49999999999999917</v>
      </c>
      <c r="QO65" s="744">
        <f t="shared" si="348"/>
        <v>0.49999999999999917</v>
      </c>
      <c r="QP65" s="1068">
        <f t="shared" si="349"/>
        <v>0.49999999999999917</v>
      </c>
      <c r="QR65" s="1432">
        <f t="shared" si="350"/>
        <v>0.11111111111111115</v>
      </c>
      <c r="QS65" s="744">
        <f t="shared" si="351"/>
        <v>0.11111111111111115</v>
      </c>
      <c r="QT65" s="744">
        <f t="shared" si="352"/>
        <v>0.11111111111111115</v>
      </c>
      <c r="QU65" s="743">
        <f t="shared" si="353"/>
        <v>0.11111111111111115</v>
      </c>
      <c r="QV65" s="744">
        <f t="shared" si="354"/>
        <v>0.11111111111111115</v>
      </c>
      <c r="QW65" s="744">
        <f t="shared" si="355"/>
        <v>0.11111111111111115</v>
      </c>
      <c r="QX65" s="743">
        <f t="shared" si="356"/>
        <v>0.11111111111111115</v>
      </c>
      <c r="QY65" s="744">
        <f t="shared" si="357"/>
        <v>0.11111111111111115</v>
      </c>
      <c r="QZ65" s="745">
        <f t="shared" si="358"/>
        <v>0.11111111111111115</v>
      </c>
      <c r="RC65" s="744">
        <f t="shared" si="359"/>
        <v>5.5555555555555566E-2</v>
      </c>
      <c r="RD65" s="744">
        <f t="shared" si="360"/>
        <v>5.5555555555555566E-2</v>
      </c>
      <c r="RE65" s="744">
        <f t="shared" si="361"/>
        <v>5.5555555555555566E-2</v>
      </c>
      <c r="RF65" s="744">
        <f t="shared" si="362"/>
        <v>5.5555555555555566E-2</v>
      </c>
      <c r="RG65" s="744">
        <f t="shared" si="363"/>
        <v>5.5555555555555566E-2</v>
      </c>
      <c r="RH65" s="744">
        <f t="shared" si="364"/>
        <v>5.5555555555555566E-2</v>
      </c>
      <c r="RI65" s="744">
        <f t="shared" si="365"/>
        <v>5.5555555555555566E-2</v>
      </c>
      <c r="RJ65" s="744">
        <f t="shared" si="366"/>
        <v>5.5555555555555566E-2</v>
      </c>
      <c r="RK65" s="744">
        <f t="shared" si="367"/>
        <v>5.5555555555555566E-2</v>
      </c>
      <c r="RL65" s="1251"/>
      <c r="RM65" s="744">
        <f t="shared" si="368"/>
        <v>5.5555555555555566E-2</v>
      </c>
      <c r="RN65" s="744">
        <f t="shared" si="369"/>
        <v>5.5555555555555566E-2</v>
      </c>
      <c r="RO65" s="744">
        <f t="shared" si="370"/>
        <v>5.5555555555555566E-2</v>
      </c>
      <c r="RP65" s="744">
        <f t="shared" si="371"/>
        <v>5.5555555555555566E-2</v>
      </c>
      <c r="RQ65" s="744">
        <f t="shared" si="372"/>
        <v>5.5555555555555566E-2</v>
      </c>
      <c r="RR65" s="744">
        <f t="shared" si="373"/>
        <v>5.5555555555555566E-2</v>
      </c>
      <c r="RS65" s="744">
        <f t="shared" si="374"/>
        <v>5.5555555555555566E-2</v>
      </c>
      <c r="RT65" s="744">
        <f t="shared" si="375"/>
        <v>5.5555555555555566E-2</v>
      </c>
      <c r="RU65" s="744">
        <f t="shared" si="376"/>
        <v>5.5555555555555566E-2</v>
      </c>
      <c r="RV65" s="744"/>
      <c r="RW65" s="744">
        <f t="shared" si="377"/>
        <v>5.5555555555555566E-2</v>
      </c>
      <c r="RX65" s="744">
        <f t="shared" si="378"/>
        <v>5.5555555555555566E-2</v>
      </c>
      <c r="RY65" s="744">
        <f t="shared" si="379"/>
        <v>5.5555555555555566E-2</v>
      </c>
      <c r="RZ65" s="744">
        <f t="shared" si="380"/>
        <v>5.5555555555555566E-2</v>
      </c>
      <c r="SA65" s="744">
        <f t="shared" si="381"/>
        <v>5.5555555555555566E-2</v>
      </c>
      <c r="SB65" s="744">
        <f t="shared" si="382"/>
        <v>5.5555555555555566E-2</v>
      </c>
      <c r="SC65" s="744">
        <f t="shared" si="383"/>
        <v>5.5555555555555566E-2</v>
      </c>
      <c r="SD65" s="744">
        <f t="shared" si="384"/>
        <v>5.5555555555555566E-2</v>
      </c>
      <c r="SE65" s="744">
        <f t="shared" si="385"/>
        <v>5.5555555555555566E-2</v>
      </c>
      <c r="SF65" s="744"/>
      <c r="SG65" s="744">
        <f t="shared" si="386"/>
        <v>5.5555555555555566E-2</v>
      </c>
      <c r="SH65" s="744">
        <f t="shared" si="387"/>
        <v>5.5555555555555566E-2</v>
      </c>
      <c r="SI65" s="744">
        <f t="shared" si="388"/>
        <v>5.5555555555555566E-2</v>
      </c>
      <c r="SJ65" s="744">
        <f t="shared" si="389"/>
        <v>5.5555555555555566E-2</v>
      </c>
      <c r="SK65" s="744">
        <f t="shared" si="390"/>
        <v>5.5555555555555566E-2</v>
      </c>
      <c r="SL65" s="744">
        <f t="shared" si="391"/>
        <v>5.5555555555555566E-2</v>
      </c>
      <c r="SM65" s="744">
        <f t="shared" si="392"/>
        <v>5.5555555555555566E-2</v>
      </c>
      <c r="SN65" s="744">
        <f t="shared" si="393"/>
        <v>5.5555555555555566E-2</v>
      </c>
      <c r="SO65" s="744">
        <f t="shared" si="394"/>
        <v>5.5555555555555566E-2</v>
      </c>
      <c r="SP65" s="100"/>
      <c r="SQ65" s="114"/>
      <c r="SR65" s="806">
        <f t="shared" si="431"/>
        <v>0.49999999999999994</v>
      </c>
      <c r="SS65" s="806">
        <f t="shared" si="432"/>
        <v>0.49999999999999994</v>
      </c>
      <c r="ST65" s="806">
        <f t="shared" si="433"/>
        <v>0.49999999999999994</v>
      </c>
      <c r="SU65" s="806">
        <f t="shared" si="434"/>
        <v>0.49999999999999994</v>
      </c>
      <c r="SV65" s="806">
        <f t="shared" si="435"/>
        <v>0.49999999999999994</v>
      </c>
      <c r="SW65" s="806">
        <f t="shared" si="436"/>
        <v>0.49999999999999994</v>
      </c>
      <c r="SX65" s="806">
        <f t="shared" si="437"/>
        <v>0.49999999999999994</v>
      </c>
      <c r="SY65" s="806">
        <f t="shared" si="438"/>
        <v>0.49999999999999994</v>
      </c>
      <c r="SZ65" s="806">
        <f t="shared" si="439"/>
        <v>0.49999999999999994</v>
      </c>
      <c r="TA65" s="806"/>
      <c r="TB65" s="806">
        <f t="shared" si="440"/>
        <v>0.49999999999999994</v>
      </c>
      <c r="TC65" s="806">
        <f t="shared" si="441"/>
        <v>0.49999999999999994</v>
      </c>
      <c r="TD65" s="806">
        <f t="shared" si="442"/>
        <v>0.49999999999999994</v>
      </c>
      <c r="TE65" s="806">
        <f t="shared" si="443"/>
        <v>0.49999999999999994</v>
      </c>
      <c r="TF65" s="806">
        <f t="shared" si="444"/>
        <v>0.49999999999999994</v>
      </c>
      <c r="TG65" s="806">
        <f t="shared" si="445"/>
        <v>0.49999999999999994</v>
      </c>
      <c r="TH65" s="806">
        <f t="shared" si="446"/>
        <v>0.49999999999999994</v>
      </c>
      <c r="TI65" s="806">
        <f t="shared" si="447"/>
        <v>0.49999999999999994</v>
      </c>
      <c r="TJ65" s="806">
        <f t="shared" si="448"/>
        <v>0.49999999999999994</v>
      </c>
      <c r="TK65" s="806"/>
      <c r="TL65" s="806">
        <f t="shared" si="449"/>
        <v>0.49999999999999994</v>
      </c>
      <c r="TM65" s="806">
        <f t="shared" si="450"/>
        <v>0.49999999999999994</v>
      </c>
      <c r="TN65" s="806">
        <f t="shared" si="451"/>
        <v>0.49999999999999994</v>
      </c>
      <c r="TO65" s="806">
        <f t="shared" si="452"/>
        <v>0.49999999999999994</v>
      </c>
      <c r="TP65" s="806">
        <f t="shared" si="453"/>
        <v>0.49999999999999994</v>
      </c>
      <c r="TQ65" s="806">
        <f t="shared" si="454"/>
        <v>0.49999999999999994</v>
      </c>
      <c r="TR65" s="806">
        <f t="shared" si="455"/>
        <v>0.49999999999999994</v>
      </c>
      <c r="TS65" s="806">
        <f t="shared" si="456"/>
        <v>0.49999999999999994</v>
      </c>
      <c r="TT65" s="806">
        <f t="shared" si="457"/>
        <v>0.49999999999999994</v>
      </c>
      <c r="TU65" s="806"/>
      <c r="TV65" s="806">
        <f t="shared" si="458"/>
        <v>0.49999999999999994</v>
      </c>
      <c r="TW65" s="806">
        <f t="shared" si="459"/>
        <v>0.49999999999999994</v>
      </c>
      <c r="TX65" s="806">
        <f t="shared" si="460"/>
        <v>0.49999999999999994</v>
      </c>
      <c r="TY65" s="806">
        <f t="shared" si="461"/>
        <v>0.49999999999999994</v>
      </c>
      <c r="TZ65" s="806">
        <f t="shared" si="462"/>
        <v>0.49999999999999994</v>
      </c>
      <c r="UA65" s="806">
        <f t="shared" si="463"/>
        <v>0.49999999999999994</v>
      </c>
      <c r="UB65" s="806">
        <f t="shared" si="464"/>
        <v>0.49999999999999994</v>
      </c>
      <c r="UC65" s="806">
        <f t="shared" si="465"/>
        <v>0.49999999999999994</v>
      </c>
      <c r="UD65" s="1439">
        <f t="shared" si="466"/>
        <v>0.49999999999999994</v>
      </c>
    </row>
    <row r="66" spans="3:550" s="7" customFormat="1" x14ac:dyDescent="0.25">
      <c r="C66" s="21"/>
      <c r="D66" s="1308">
        <v>44041</v>
      </c>
      <c r="E66" s="233">
        <v>0</v>
      </c>
      <c r="F66" s="1392">
        <v>0</v>
      </c>
      <c r="G66" s="1392">
        <v>0</v>
      </c>
      <c r="H66" s="1392">
        <v>0</v>
      </c>
      <c r="I66" s="1392">
        <v>0</v>
      </c>
      <c r="J66" s="1392">
        <v>0</v>
      </c>
      <c r="K66" s="1392">
        <v>0</v>
      </c>
      <c r="L66" s="1392">
        <v>0</v>
      </c>
      <c r="M66" s="1392">
        <v>0</v>
      </c>
      <c r="N66" s="1392">
        <v>0</v>
      </c>
      <c r="O66" s="1392">
        <v>0</v>
      </c>
      <c r="P66" s="1392">
        <v>0</v>
      </c>
      <c r="Q66" s="1392">
        <v>0</v>
      </c>
      <c r="R66" s="1392">
        <v>0</v>
      </c>
      <c r="S66" s="1392">
        <v>0</v>
      </c>
      <c r="T66" s="1392">
        <v>0</v>
      </c>
      <c r="U66" s="1392">
        <v>0</v>
      </c>
      <c r="V66" s="1392">
        <v>0</v>
      </c>
      <c r="W66" s="1392">
        <v>0</v>
      </c>
      <c r="X66" s="1392">
        <v>0</v>
      </c>
      <c r="Y66" s="1392">
        <v>0</v>
      </c>
      <c r="Z66" s="1392">
        <v>0</v>
      </c>
      <c r="AA66" s="1392">
        <v>0</v>
      </c>
      <c r="AB66" s="1392">
        <v>0</v>
      </c>
      <c r="AC66" s="1392">
        <v>0</v>
      </c>
      <c r="AD66" s="1392">
        <v>0</v>
      </c>
      <c r="AE66" s="1392">
        <v>0</v>
      </c>
      <c r="AF66" s="1392">
        <v>0</v>
      </c>
      <c r="AG66" s="1392">
        <v>0</v>
      </c>
      <c r="AH66" s="1392">
        <v>0</v>
      </c>
      <c r="AI66" s="1392">
        <v>0</v>
      </c>
      <c r="AJ66" s="1392">
        <v>0</v>
      </c>
      <c r="AK66" s="1392">
        <v>0</v>
      </c>
      <c r="AL66" s="1392">
        <v>0</v>
      </c>
      <c r="AM66" s="1392">
        <v>0</v>
      </c>
      <c r="AN66" s="1392">
        <v>0</v>
      </c>
      <c r="AO66" s="1392">
        <v>0</v>
      </c>
      <c r="AP66" s="1392">
        <v>0</v>
      </c>
      <c r="AQ66" s="1392">
        <v>0</v>
      </c>
      <c r="AR66" s="1392">
        <v>0</v>
      </c>
      <c r="AS66" s="1392">
        <v>0</v>
      </c>
      <c r="AT66" s="1392">
        <v>0</v>
      </c>
      <c r="AU66" s="1392">
        <v>0</v>
      </c>
      <c r="AV66" s="1392">
        <v>0</v>
      </c>
      <c r="AW66" s="1392">
        <v>0</v>
      </c>
      <c r="AX66" s="1392">
        <v>0</v>
      </c>
      <c r="AY66" s="1392">
        <v>0</v>
      </c>
      <c r="AZ66" s="1392">
        <v>0</v>
      </c>
      <c r="BA66" s="1392">
        <v>0</v>
      </c>
      <c r="BB66" s="1392">
        <v>0</v>
      </c>
      <c r="BC66" s="1392">
        <v>0</v>
      </c>
      <c r="BD66" s="1392">
        <v>0</v>
      </c>
      <c r="BE66" s="1392">
        <v>0</v>
      </c>
      <c r="BF66" s="1392">
        <v>0</v>
      </c>
      <c r="BG66" s="1392">
        <v>0</v>
      </c>
      <c r="BH66" s="1392">
        <v>0</v>
      </c>
      <c r="BI66" s="1392">
        <v>0</v>
      </c>
      <c r="BJ66" s="1392">
        <v>0</v>
      </c>
      <c r="BK66" s="1392">
        <v>0</v>
      </c>
      <c r="BL66" s="1392">
        <v>0</v>
      </c>
      <c r="BM66" s="1392">
        <v>0</v>
      </c>
      <c r="BN66" s="1392">
        <v>0</v>
      </c>
      <c r="BO66" s="1392">
        <v>0</v>
      </c>
      <c r="BP66" s="1392">
        <v>0</v>
      </c>
      <c r="BQ66" s="1392">
        <v>0</v>
      </c>
      <c r="BR66" s="1392">
        <v>0</v>
      </c>
      <c r="BS66" s="1392">
        <v>0</v>
      </c>
      <c r="BT66" s="1392">
        <v>0</v>
      </c>
      <c r="BU66" s="1392">
        <v>0</v>
      </c>
      <c r="BV66" s="1392">
        <v>0</v>
      </c>
      <c r="BW66" s="1392">
        <v>0</v>
      </c>
      <c r="BX66" s="1392">
        <v>0</v>
      </c>
      <c r="BY66" s="1392">
        <v>0</v>
      </c>
      <c r="BZ66" s="1392">
        <v>0</v>
      </c>
      <c r="CA66" s="1392">
        <v>0</v>
      </c>
      <c r="CB66" s="1392">
        <v>0</v>
      </c>
      <c r="CC66" s="1392">
        <v>0</v>
      </c>
      <c r="CD66" s="1392">
        <v>0</v>
      </c>
      <c r="CE66" s="1392">
        <v>0</v>
      </c>
      <c r="CF66" s="1392">
        <v>0</v>
      </c>
      <c r="CG66" s="1392">
        <v>0</v>
      </c>
      <c r="CH66" s="1392">
        <v>0</v>
      </c>
      <c r="CI66" s="1392">
        <v>0</v>
      </c>
      <c r="CJ66" s="1392">
        <v>0</v>
      </c>
      <c r="CK66" s="1392">
        <v>0</v>
      </c>
      <c r="CL66" s="1392">
        <v>0</v>
      </c>
      <c r="CM66" s="1392">
        <v>0</v>
      </c>
      <c r="CN66" s="1392">
        <v>0</v>
      </c>
      <c r="CO66" s="1392">
        <v>0</v>
      </c>
      <c r="CP66" s="1392">
        <v>0</v>
      </c>
      <c r="CQ66" s="1392">
        <v>0</v>
      </c>
      <c r="CR66" s="1392">
        <v>0</v>
      </c>
      <c r="CS66" s="1392">
        <v>0</v>
      </c>
      <c r="CT66" s="1392">
        <v>0</v>
      </c>
      <c r="CU66" s="1392">
        <v>0</v>
      </c>
      <c r="CV66" s="1392">
        <v>0</v>
      </c>
      <c r="CW66" s="1392">
        <v>0</v>
      </c>
      <c r="CX66" s="1392">
        <v>0</v>
      </c>
      <c r="CY66" s="1392">
        <v>0</v>
      </c>
      <c r="CZ66" s="1392">
        <v>0</v>
      </c>
      <c r="DA66" s="1392">
        <v>0</v>
      </c>
      <c r="DB66" s="1392">
        <v>0</v>
      </c>
      <c r="DC66" s="1392">
        <v>0</v>
      </c>
      <c r="DD66" s="1392">
        <v>0</v>
      </c>
      <c r="DE66" s="1392">
        <v>0</v>
      </c>
      <c r="DF66" s="1392">
        <v>0</v>
      </c>
      <c r="DG66" s="1392">
        <v>0</v>
      </c>
      <c r="DH66" s="1392">
        <v>0</v>
      </c>
      <c r="DI66" s="1392">
        <v>0</v>
      </c>
      <c r="DJ66" s="1392">
        <v>0</v>
      </c>
      <c r="DK66" s="1392">
        <v>0</v>
      </c>
      <c r="DL66" s="1392">
        <v>0</v>
      </c>
      <c r="DM66" s="1392">
        <v>0</v>
      </c>
      <c r="DN66" s="1392">
        <v>0</v>
      </c>
      <c r="DO66" s="1392">
        <v>0</v>
      </c>
      <c r="DP66" s="1392">
        <v>0</v>
      </c>
      <c r="DQ66" s="1392">
        <v>0</v>
      </c>
      <c r="DR66" s="1392">
        <v>0</v>
      </c>
      <c r="DS66" s="1392">
        <v>0</v>
      </c>
      <c r="DT66" s="1392">
        <v>0</v>
      </c>
      <c r="DU66" s="1392">
        <v>0</v>
      </c>
      <c r="DV66" s="1392">
        <v>0</v>
      </c>
      <c r="DW66" s="1392">
        <v>0</v>
      </c>
      <c r="DX66" s="1392">
        <v>0</v>
      </c>
      <c r="DY66" s="1392">
        <v>0</v>
      </c>
      <c r="DZ66" s="1392">
        <v>0</v>
      </c>
      <c r="EA66" s="1392">
        <v>0</v>
      </c>
      <c r="EB66" s="1392">
        <v>0</v>
      </c>
      <c r="EC66" s="1392">
        <v>0</v>
      </c>
      <c r="ED66" s="1392">
        <v>0</v>
      </c>
      <c r="EE66" s="1392">
        <v>0</v>
      </c>
      <c r="EF66" s="1392">
        <v>0</v>
      </c>
      <c r="EG66" s="1392">
        <v>0</v>
      </c>
      <c r="EH66" s="1392">
        <v>0</v>
      </c>
      <c r="EI66" s="1392">
        <v>0</v>
      </c>
      <c r="EJ66" s="1392">
        <v>0</v>
      </c>
      <c r="EK66" s="1392">
        <v>0</v>
      </c>
      <c r="EL66" s="1392">
        <v>0</v>
      </c>
      <c r="EM66" s="1392">
        <v>0</v>
      </c>
      <c r="EN66" s="1392">
        <v>0</v>
      </c>
      <c r="EO66" s="1392">
        <v>0</v>
      </c>
      <c r="EP66" s="1392">
        <v>0</v>
      </c>
      <c r="EQ66" s="1392">
        <v>0</v>
      </c>
      <c r="ER66" s="1393">
        <v>0</v>
      </c>
      <c r="ES66" s="377"/>
      <c r="ET66" s="316">
        <f t="shared" si="335"/>
        <v>1</v>
      </c>
      <c r="EU66" s="1392">
        <f t="shared" si="20"/>
        <v>1</v>
      </c>
      <c r="EV66" s="1392">
        <f t="shared" si="21"/>
        <v>1</v>
      </c>
      <c r="EW66" s="1392">
        <f t="shared" si="22"/>
        <v>1</v>
      </c>
      <c r="EX66" s="1392">
        <f t="shared" si="23"/>
        <v>1</v>
      </c>
      <c r="EY66" s="1392">
        <f t="shared" si="24"/>
        <v>1</v>
      </c>
      <c r="EZ66" s="1392">
        <f t="shared" si="25"/>
        <v>1</v>
      </c>
      <c r="FA66" s="1392">
        <f t="shared" si="26"/>
        <v>1</v>
      </c>
      <c r="FB66" s="1392">
        <f t="shared" si="27"/>
        <v>1</v>
      </c>
      <c r="FC66" s="1392">
        <f t="shared" si="28"/>
        <v>1</v>
      </c>
      <c r="FD66" s="1392">
        <f t="shared" si="29"/>
        <v>1</v>
      </c>
      <c r="FE66" s="1392">
        <f t="shared" si="30"/>
        <v>1</v>
      </c>
      <c r="FF66" s="1392">
        <f t="shared" si="31"/>
        <v>1</v>
      </c>
      <c r="FG66" s="1392">
        <f t="shared" si="32"/>
        <v>1</v>
      </c>
      <c r="FH66" s="1392">
        <f t="shared" si="33"/>
        <v>1</v>
      </c>
      <c r="FI66" s="1392">
        <f t="shared" si="34"/>
        <v>1</v>
      </c>
      <c r="FJ66" s="1392">
        <f t="shared" si="35"/>
        <v>1</v>
      </c>
      <c r="FK66" s="1392">
        <f t="shared" si="36"/>
        <v>1</v>
      </c>
      <c r="FL66" s="1392">
        <f t="shared" si="37"/>
        <v>1</v>
      </c>
      <c r="FM66" s="1392">
        <f t="shared" si="38"/>
        <v>1</v>
      </c>
      <c r="FN66" s="1392">
        <f t="shared" si="39"/>
        <v>1</v>
      </c>
      <c r="FO66" s="1392">
        <f t="shared" si="40"/>
        <v>1</v>
      </c>
      <c r="FP66" s="1392">
        <f t="shared" si="41"/>
        <v>1</v>
      </c>
      <c r="FQ66" s="1392">
        <f t="shared" si="42"/>
        <v>1</v>
      </c>
      <c r="FR66" s="1392">
        <f t="shared" si="43"/>
        <v>1</v>
      </c>
      <c r="FS66" s="1392">
        <f t="shared" si="44"/>
        <v>1</v>
      </c>
      <c r="FT66" s="1392">
        <f t="shared" si="45"/>
        <v>1</v>
      </c>
      <c r="FU66" s="1392">
        <f t="shared" si="46"/>
        <v>1</v>
      </c>
      <c r="FV66" s="1392">
        <f t="shared" si="47"/>
        <v>1</v>
      </c>
      <c r="FW66" s="1392">
        <f t="shared" si="48"/>
        <v>1</v>
      </c>
      <c r="FX66" s="1392">
        <f t="shared" si="49"/>
        <v>1</v>
      </c>
      <c r="FY66" s="1392">
        <f t="shared" si="50"/>
        <v>1</v>
      </c>
      <c r="FZ66" s="1392">
        <f t="shared" si="51"/>
        <v>1</v>
      </c>
      <c r="GA66" s="1392">
        <f t="shared" si="52"/>
        <v>1</v>
      </c>
      <c r="GB66" s="1392">
        <f t="shared" si="53"/>
        <v>1</v>
      </c>
      <c r="GC66" s="1392">
        <f t="shared" si="54"/>
        <v>1</v>
      </c>
      <c r="GD66" s="1392">
        <f t="shared" si="55"/>
        <v>1</v>
      </c>
      <c r="GE66" s="1392">
        <f t="shared" si="56"/>
        <v>1</v>
      </c>
      <c r="GF66" s="1392">
        <f t="shared" si="57"/>
        <v>1</v>
      </c>
      <c r="GG66" s="1392">
        <f t="shared" si="58"/>
        <v>1</v>
      </c>
      <c r="GH66" s="1392">
        <f t="shared" si="59"/>
        <v>1</v>
      </c>
      <c r="GI66" s="1392">
        <f t="shared" si="60"/>
        <v>1</v>
      </c>
      <c r="GJ66" s="1392">
        <f t="shared" si="61"/>
        <v>1</v>
      </c>
      <c r="GK66" s="1392">
        <f t="shared" si="62"/>
        <v>1</v>
      </c>
      <c r="GL66" s="1392">
        <f t="shared" si="63"/>
        <v>1</v>
      </c>
      <c r="GM66" s="1392">
        <f t="shared" si="64"/>
        <v>1</v>
      </c>
      <c r="GN66" s="1392">
        <f t="shared" si="65"/>
        <v>1</v>
      </c>
      <c r="GO66" s="1392">
        <f t="shared" si="66"/>
        <v>1</v>
      </c>
      <c r="GP66" s="1392">
        <f t="shared" si="67"/>
        <v>1</v>
      </c>
      <c r="GQ66" s="1392">
        <f t="shared" si="68"/>
        <v>1</v>
      </c>
      <c r="GR66" s="1392">
        <f t="shared" si="69"/>
        <v>1</v>
      </c>
      <c r="GS66" s="1392">
        <f t="shared" si="70"/>
        <v>1</v>
      </c>
      <c r="GT66" s="1392">
        <f t="shared" si="71"/>
        <v>1</v>
      </c>
      <c r="GU66" s="1392">
        <f t="shared" si="72"/>
        <v>1</v>
      </c>
      <c r="GV66" s="1392">
        <f t="shared" si="73"/>
        <v>1</v>
      </c>
      <c r="GW66" s="1392">
        <f t="shared" si="74"/>
        <v>1</v>
      </c>
      <c r="GX66" s="1392">
        <f t="shared" si="75"/>
        <v>1</v>
      </c>
      <c r="GY66" s="1392">
        <f t="shared" si="76"/>
        <v>1</v>
      </c>
      <c r="GZ66" s="1392">
        <f t="shared" si="77"/>
        <v>1</v>
      </c>
      <c r="HA66" s="1392">
        <f t="shared" si="78"/>
        <v>1</v>
      </c>
      <c r="HB66" s="1392">
        <f t="shared" si="79"/>
        <v>1</v>
      </c>
      <c r="HC66" s="1392">
        <f t="shared" si="80"/>
        <v>1</v>
      </c>
      <c r="HD66" s="1392">
        <f t="shared" si="81"/>
        <v>1</v>
      </c>
      <c r="HE66" s="1392">
        <f t="shared" si="82"/>
        <v>1</v>
      </c>
      <c r="HF66" s="1392">
        <f t="shared" si="83"/>
        <v>1</v>
      </c>
      <c r="HG66" s="1392">
        <f t="shared" si="84"/>
        <v>1</v>
      </c>
      <c r="HH66" s="1392">
        <f t="shared" si="85"/>
        <v>1</v>
      </c>
      <c r="HI66" s="1392">
        <f t="shared" si="86"/>
        <v>1</v>
      </c>
      <c r="HJ66" s="1392">
        <f t="shared" si="87"/>
        <v>1</v>
      </c>
      <c r="HK66" s="1392">
        <f t="shared" si="88"/>
        <v>1</v>
      </c>
      <c r="HL66" s="1392">
        <f t="shared" si="89"/>
        <v>1</v>
      </c>
      <c r="HM66" s="1392">
        <f t="shared" si="90"/>
        <v>1</v>
      </c>
      <c r="HN66" s="1392">
        <f t="shared" si="91"/>
        <v>1</v>
      </c>
      <c r="HO66" s="1392">
        <f t="shared" si="92"/>
        <v>1</v>
      </c>
      <c r="HP66" s="1392">
        <f t="shared" si="93"/>
        <v>1</v>
      </c>
      <c r="HQ66" s="1392">
        <f t="shared" si="94"/>
        <v>1</v>
      </c>
      <c r="HR66" s="1392">
        <f t="shared" si="95"/>
        <v>1</v>
      </c>
      <c r="HS66" s="1392">
        <f t="shared" si="96"/>
        <v>1</v>
      </c>
      <c r="HT66" s="1392">
        <f t="shared" si="97"/>
        <v>1</v>
      </c>
      <c r="HU66" s="1392">
        <f t="shared" si="98"/>
        <v>1</v>
      </c>
      <c r="HV66" s="1392">
        <f t="shared" si="99"/>
        <v>1</v>
      </c>
      <c r="HW66" s="1392">
        <f t="shared" si="100"/>
        <v>1</v>
      </c>
      <c r="HX66" s="1392">
        <f t="shared" si="101"/>
        <v>1</v>
      </c>
      <c r="HY66" s="1392">
        <f t="shared" si="102"/>
        <v>1</v>
      </c>
      <c r="HZ66" s="1392">
        <f t="shared" si="103"/>
        <v>1</v>
      </c>
      <c r="IA66" s="1392">
        <f t="shared" si="104"/>
        <v>1</v>
      </c>
      <c r="IB66" s="1392">
        <f t="shared" si="105"/>
        <v>1</v>
      </c>
      <c r="IC66" s="1392">
        <f t="shared" si="106"/>
        <v>1</v>
      </c>
      <c r="ID66" s="1392">
        <f t="shared" si="107"/>
        <v>1</v>
      </c>
      <c r="IE66" s="1392">
        <f t="shared" si="108"/>
        <v>1</v>
      </c>
      <c r="IF66" s="1392">
        <f t="shared" si="109"/>
        <v>1</v>
      </c>
      <c r="IG66" s="1392">
        <f t="shared" si="110"/>
        <v>1</v>
      </c>
      <c r="IH66" s="1392">
        <f t="shared" si="111"/>
        <v>1</v>
      </c>
      <c r="II66" s="1392">
        <f t="shared" si="112"/>
        <v>1</v>
      </c>
      <c r="IJ66" s="1392">
        <f t="shared" si="113"/>
        <v>1</v>
      </c>
      <c r="IK66" s="1392">
        <f t="shared" si="114"/>
        <v>1</v>
      </c>
      <c r="IL66" s="1392">
        <f t="shared" si="115"/>
        <v>1</v>
      </c>
      <c r="IM66" s="1392">
        <f t="shared" si="116"/>
        <v>1</v>
      </c>
      <c r="IN66" s="1392">
        <f t="shared" si="117"/>
        <v>1</v>
      </c>
      <c r="IO66" s="1392">
        <f t="shared" si="118"/>
        <v>1</v>
      </c>
      <c r="IP66" s="1392">
        <f t="shared" si="119"/>
        <v>1</v>
      </c>
      <c r="IQ66" s="1392">
        <f t="shared" si="120"/>
        <v>1</v>
      </c>
      <c r="IR66" s="1392">
        <f t="shared" si="121"/>
        <v>1</v>
      </c>
      <c r="IS66" s="1392">
        <f t="shared" si="122"/>
        <v>1</v>
      </c>
      <c r="IT66" s="1392">
        <f t="shared" si="123"/>
        <v>1</v>
      </c>
      <c r="IU66" s="1392">
        <f t="shared" si="124"/>
        <v>1</v>
      </c>
      <c r="IV66" s="1392">
        <f t="shared" si="125"/>
        <v>1</v>
      </c>
      <c r="IW66" s="1392">
        <f t="shared" si="126"/>
        <v>1</v>
      </c>
      <c r="IX66" s="1392">
        <f t="shared" si="127"/>
        <v>1</v>
      </c>
      <c r="IY66" s="1392">
        <f t="shared" si="128"/>
        <v>1</v>
      </c>
      <c r="IZ66" s="1392">
        <f t="shared" si="129"/>
        <v>1</v>
      </c>
      <c r="JA66" s="1392">
        <f t="shared" si="130"/>
        <v>1</v>
      </c>
      <c r="JB66" s="1392">
        <f t="shared" si="131"/>
        <v>1</v>
      </c>
      <c r="JC66" s="1392">
        <f t="shared" si="132"/>
        <v>1</v>
      </c>
      <c r="JD66" s="1392">
        <f t="shared" si="133"/>
        <v>1</v>
      </c>
      <c r="JE66" s="1392">
        <f t="shared" si="134"/>
        <v>1</v>
      </c>
      <c r="JF66" s="1392">
        <f t="shared" si="135"/>
        <v>1</v>
      </c>
      <c r="JG66" s="1392">
        <f t="shared" si="136"/>
        <v>1</v>
      </c>
      <c r="JH66" s="1392">
        <f t="shared" si="137"/>
        <v>1</v>
      </c>
      <c r="JI66" s="1392">
        <f t="shared" si="138"/>
        <v>1</v>
      </c>
      <c r="JJ66" s="1392">
        <f t="shared" si="139"/>
        <v>1</v>
      </c>
      <c r="JK66" s="1392">
        <f t="shared" si="140"/>
        <v>1</v>
      </c>
      <c r="JL66" s="1392">
        <f t="shared" si="141"/>
        <v>1</v>
      </c>
      <c r="JM66" s="1392">
        <f t="shared" si="142"/>
        <v>1</v>
      </c>
      <c r="JN66" s="1392">
        <f t="shared" si="143"/>
        <v>1</v>
      </c>
      <c r="JO66" s="1392">
        <f t="shared" si="144"/>
        <v>1</v>
      </c>
      <c r="JP66" s="1392">
        <f t="shared" si="145"/>
        <v>1</v>
      </c>
      <c r="JQ66" s="1392">
        <f t="shared" si="146"/>
        <v>1</v>
      </c>
      <c r="JR66" s="1392">
        <f t="shared" si="147"/>
        <v>1</v>
      </c>
      <c r="JS66" s="1392">
        <f t="shared" si="148"/>
        <v>1</v>
      </c>
      <c r="JT66" s="1392">
        <f t="shared" si="149"/>
        <v>1</v>
      </c>
      <c r="JU66" s="1392">
        <f t="shared" si="150"/>
        <v>1</v>
      </c>
      <c r="JV66" s="1392">
        <f t="shared" si="151"/>
        <v>1</v>
      </c>
      <c r="JW66" s="1392">
        <f t="shared" si="152"/>
        <v>1</v>
      </c>
      <c r="JX66" s="1392">
        <f t="shared" si="153"/>
        <v>1</v>
      </c>
      <c r="JY66" s="1392">
        <f t="shared" si="154"/>
        <v>1</v>
      </c>
      <c r="JZ66" s="1392">
        <f t="shared" si="155"/>
        <v>1</v>
      </c>
      <c r="KA66" s="1392">
        <f t="shared" si="156"/>
        <v>1</v>
      </c>
      <c r="KB66" s="1392">
        <f t="shared" si="157"/>
        <v>1</v>
      </c>
      <c r="KC66" s="1392">
        <f t="shared" si="158"/>
        <v>1</v>
      </c>
      <c r="KD66" s="1392">
        <f t="shared" si="159"/>
        <v>1</v>
      </c>
      <c r="KE66" s="1392">
        <f t="shared" si="160"/>
        <v>1</v>
      </c>
      <c r="KF66" s="1392">
        <f t="shared" si="161"/>
        <v>1</v>
      </c>
      <c r="KG66" s="1399">
        <f t="shared" si="162"/>
        <v>1</v>
      </c>
      <c r="KH66" s="1406">
        <f t="shared" si="163"/>
        <v>144</v>
      </c>
      <c r="KI66" s="377"/>
      <c r="KJ66" s="1444">
        <f t="shared" si="164"/>
        <v>19.879253198304003</v>
      </c>
      <c r="KK66" s="49">
        <f t="shared" si="165"/>
        <v>0</v>
      </c>
      <c r="KL66" s="377"/>
      <c r="KM66" s="908">
        <f t="shared" si="166"/>
        <v>6.9444444444444441E-3</v>
      </c>
      <c r="KN66" s="1411">
        <f t="shared" si="167"/>
        <v>6.9444444444444441E-3</v>
      </c>
      <c r="KO66" s="1411">
        <f t="shared" si="168"/>
        <v>6.9444444444444441E-3</v>
      </c>
      <c r="KP66" s="1411">
        <f t="shared" si="169"/>
        <v>6.9444444444444441E-3</v>
      </c>
      <c r="KQ66" s="1411">
        <f t="shared" si="170"/>
        <v>6.9444444444444441E-3</v>
      </c>
      <c r="KR66" s="1411">
        <f t="shared" si="171"/>
        <v>6.9444444444444441E-3</v>
      </c>
      <c r="KS66" s="1411">
        <f t="shared" si="172"/>
        <v>6.9444444444444441E-3</v>
      </c>
      <c r="KT66" s="1411">
        <f t="shared" si="173"/>
        <v>6.9444444444444441E-3</v>
      </c>
      <c r="KU66" s="1411">
        <f t="shared" si="174"/>
        <v>6.9444444444444441E-3</v>
      </c>
      <c r="KV66" s="1411">
        <f t="shared" si="175"/>
        <v>6.9444444444444441E-3</v>
      </c>
      <c r="KW66" s="1411">
        <f t="shared" si="176"/>
        <v>6.9444444444444441E-3</v>
      </c>
      <c r="KX66" s="1411">
        <f t="shared" si="177"/>
        <v>6.9444444444444441E-3</v>
      </c>
      <c r="KY66" s="1411">
        <f t="shared" si="178"/>
        <v>6.9444444444444441E-3</v>
      </c>
      <c r="KZ66" s="1411">
        <f t="shared" si="179"/>
        <v>6.9444444444444441E-3</v>
      </c>
      <c r="LA66" s="1411">
        <f t="shared" si="180"/>
        <v>6.9444444444444441E-3</v>
      </c>
      <c r="LB66" s="1411">
        <f t="shared" si="181"/>
        <v>6.9444444444444441E-3</v>
      </c>
      <c r="LC66" s="1411">
        <f t="shared" si="182"/>
        <v>6.9444444444444441E-3</v>
      </c>
      <c r="LD66" s="1411">
        <f t="shared" si="183"/>
        <v>6.9444444444444441E-3</v>
      </c>
      <c r="LE66" s="1411">
        <f t="shared" si="184"/>
        <v>6.9444444444444441E-3</v>
      </c>
      <c r="LF66" s="1411">
        <f t="shared" si="185"/>
        <v>6.9444444444444441E-3</v>
      </c>
      <c r="LG66" s="1411">
        <f t="shared" si="186"/>
        <v>6.9444444444444441E-3</v>
      </c>
      <c r="LH66" s="1411">
        <f t="shared" si="187"/>
        <v>6.9444444444444441E-3</v>
      </c>
      <c r="LI66" s="1411">
        <f t="shared" si="188"/>
        <v>6.9444444444444441E-3</v>
      </c>
      <c r="LJ66" s="1411">
        <f t="shared" si="189"/>
        <v>6.9444444444444441E-3</v>
      </c>
      <c r="LK66" s="1411">
        <f t="shared" si="190"/>
        <v>6.9444444444444441E-3</v>
      </c>
      <c r="LL66" s="1411">
        <f t="shared" si="191"/>
        <v>6.9444444444444441E-3</v>
      </c>
      <c r="LM66" s="1411">
        <f t="shared" si="192"/>
        <v>6.9444444444444441E-3</v>
      </c>
      <c r="LN66" s="1411">
        <f t="shared" si="193"/>
        <v>6.9444444444444441E-3</v>
      </c>
      <c r="LO66" s="1411">
        <f t="shared" si="194"/>
        <v>6.9444444444444441E-3</v>
      </c>
      <c r="LP66" s="1411">
        <f t="shared" si="195"/>
        <v>6.9444444444444441E-3</v>
      </c>
      <c r="LQ66" s="1411">
        <f t="shared" si="196"/>
        <v>6.9444444444444441E-3</v>
      </c>
      <c r="LR66" s="1411">
        <f t="shared" si="197"/>
        <v>6.9444444444444441E-3</v>
      </c>
      <c r="LS66" s="1411">
        <f t="shared" si="198"/>
        <v>6.9444444444444441E-3</v>
      </c>
      <c r="LT66" s="1411">
        <f t="shared" si="199"/>
        <v>6.9444444444444441E-3</v>
      </c>
      <c r="LU66" s="1411">
        <f t="shared" si="200"/>
        <v>6.9444444444444441E-3</v>
      </c>
      <c r="LV66" s="1411">
        <f t="shared" si="201"/>
        <v>6.9444444444444441E-3</v>
      </c>
      <c r="LW66" s="1411">
        <f t="shared" si="202"/>
        <v>6.9444444444444441E-3</v>
      </c>
      <c r="LX66" s="1411">
        <f t="shared" si="203"/>
        <v>6.9444444444444441E-3</v>
      </c>
      <c r="LY66" s="1411">
        <f t="shared" si="204"/>
        <v>6.9444444444444441E-3</v>
      </c>
      <c r="LZ66" s="1411">
        <f t="shared" si="205"/>
        <v>6.9444444444444441E-3</v>
      </c>
      <c r="MA66" s="1411">
        <f t="shared" si="206"/>
        <v>6.9444444444444441E-3</v>
      </c>
      <c r="MB66" s="1411">
        <f t="shared" si="207"/>
        <v>6.9444444444444441E-3</v>
      </c>
      <c r="MC66" s="1411">
        <f t="shared" si="208"/>
        <v>6.9444444444444441E-3</v>
      </c>
      <c r="MD66" s="1411">
        <f t="shared" si="209"/>
        <v>6.9444444444444441E-3</v>
      </c>
      <c r="ME66" s="1411">
        <f t="shared" si="210"/>
        <v>6.9444444444444441E-3</v>
      </c>
      <c r="MF66" s="1411">
        <f t="shared" si="211"/>
        <v>6.9444444444444441E-3</v>
      </c>
      <c r="MG66" s="1411">
        <f t="shared" si="212"/>
        <v>6.9444444444444441E-3</v>
      </c>
      <c r="MH66" s="1411">
        <f t="shared" si="213"/>
        <v>6.9444444444444441E-3</v>
      </c>
      <c r="MI66" s="1411">
        <f t="shared" si="214"/>
        <v>6.9444444444444441E-3</v>
      </c>
      <c r="MJ66" s="1411">
        <f t="shared" si="215"/>
        <v>6.9444444444444441E-3</v>
      </c>
      <c r="MK66" s="1411">
        <f t="shared" si="216"/>
        <v>6.9444444444444441E-3</v>
      </c>
      <c r="ML66" s="1411">
        <f t="shared" si="217"/>
        <v>6.9444444444444441E-3</v>
      </c>
      <c r="MM66" s="1411">
        <f t="shared" si="218"/>
        <v>6.9444444444444441E-3</v>
      </c>
      <c r="MN66" s="1411">
        <f t="shared" si="219"/>
        <v>6.9444444444444441E-3</v>
      </c>
      <c r="MO66" s="1411">
        <f t="shared" si="220"/>
        <v>6.9444444444444441E-3</v>
      </c>
      <c r="MP66" s="1411">
        <f t="shared" si="221"/>
        <v>6.9444444444444441E-3</v>
      </c>
      <c r="MQ66" s="1411">
        <f t="shared" si="222"/>
        <v>6.9444444444444441E-3</v>
      </c>
      <c r="MR66" s="1411">
        <f t="shared" si="223"/>
        <v>6.9444444444444441E-3</v>
      </c>
      <c r="MS66" s="1411">
        <f t="shared" si="224"/>
        <v>6.9444444444444441E-3</v>
      </c>
      <c r="MT66" s="1411">
        <f t="shared" si="225"/>
        <v>6.9444444444444441E-3</v>
      </c>
      <c r="MU66" s="1411">
        <f t="shared" si="226"/>
        <v>6.9444444444444441E-3</v>
      </c>
      <c r="MV66" s="1411">
        <f t="shared" si="227"/>
        <v>6.9444444444444441E-3</v>
      </c>
      <c r="MW66" s="1411">
        <f t="shared" si="228"/>
        <v>6.9444444444444441E-3</v>
      </c>
      <c r="MX66" s="1411">
        <f t="shared" si="229"/>
        <v>6.9444444444444441E-3</v>
      </c>
      <c r="MY66" s="1411">
        <f t="shared" si="230"/>
        <v>6.9444444444444441E-3</v>
      </c>
      <c r="MZ66" s="1411">
        <f t="shared" si="231"/>
        <v>6.9444444444444441E-3</v>
      </c>
      <c r="NA66" s="1411">
        <f t="shared" si="232"/>
        <v>6.9444444444444441E-3</v>
      </c>
      <c r="NB66" s="1411">
        <f t="shared" si="233"/>
        <v>6.9444444444444441E-3</v>
      </c>
      <c r="NC66" s="1411">
        <f t="shared" si="234"/>
        <v>6.9444444444444441E-3</v>
      </c>
      <c r="ND66" s="1411">
        <f t="shared" si="235"/>
        <v>6.9444444444444441E-3</v>
      </c>
      <c r="NE66" s="1411">
        <f t="shared" si="236"/>
        <v>6.9444444444444441E-3</v>
      </c>
      <c r="NF66" s="1411">
        <f t="shared" si="237"/>
        <v>6.9444444444444441E-3</v>
      </c>
      <c r="NG66" s="1411">
        <f t="shared" si="238"/>
        <v>6.9444444444444441E-3</v>
      </c>
      <c r="NH66" s="1411">
        <f t="shared" si="239"/>
        <v>6.9444444444444441E-3</v>
      </c>
      <c r="NI66" s="1411">
        <f t="shared" si="240"/>
        <v>6.9444444444444441E-3</v>
      </c>
      <c r="NJ66" s="1411">
        <f t="shared" si="241"/>
        <v>6.9444444444444441E-3</v>
      </c>
      <c r="NK66" s="1411">
        <f t="shared" si="242"/>
        <v>6.9444444444444441E-3</v>
      </c>
      <c r="NL66" s="1411">
        <f t="shared" si="243"/>
        <v>6.9444444444444441E-3</v>
      </c>
      <c r="NM66" s="1411">
        <f t="shared" si="244"/>
        <v>6.9444444444444441E-3</v>
      </c>
      <c r="NN66" s="1411">
        <f t="shared" si="245"/>
        <v>6.9444444444444441E-3</v>
      </c>
      <c r="NO66" s="1411">
        <f t="shared" si="246"/>
        <v>6.9444444444444441E-3</v>
      </c>
      <c r="NP66" s="1411">
        <f t="shared" si="247"/>
        <v>6.9444444444444441E-3</v>
      </c>
      <c r="NQ66" s="1411">
        <f t="shared" si="248"/>
        <v>6.9444444444444441E-3</v>
      </c>
      <c r="NR66" s="1411">
        <f t="shared" si="249"/>
        <v>6.9444444444444441E-3</v>
      </c>
      <c r="NS66" s="1411">
        <f t="shared" si="250"/>
        <v>6.9444444444444441E-3</v>
      </c>
      <c r="NT66" s="1411">
        <f t="shared" si="251"/>
        <v>6.9444444444444441E-3</v>
      </c>
      <c r="NU66" s="1411">
        <f t="shared" si="252"/>
        <v>6.9444444444444441E-3</v>
      </c>
      <c r="NV66" s="1411">
        <f t="shared" si="253"/>
        <v>6.9444444444444441E-3</v>
      </c>
      <c r="NW66" s="1411">
        <f t="shared" si="254"/>
        <v>6.9444444444444441E-3</v>
      </c>
      <c r="NX66" s="1411">
        <f t="shared" si="255"/>
        <v>6.9444444444444441E-3</v>
      </c>
      <c r="NY66" s="1411">
        <f t="shared" si="256"/>
        <v>6.9444444444444441E-3</v>
      </c>
      <c r="NZ66" s="1411">
        <f t="shared" si="257"/>
        <v>6.9444444444444441E-3</v>
      </c>
      <c r="OA66" s="1411">
        <f t="shared" si="258"/>
        <v>6.9444444444444441E-3</v>
      </c>
      <c r="OB66" s="1411">
        <f t="shared" si="259"/>
        <v>6.9444444444444441E-3</v>
      </c>
      <c r="OC66" s="1411">
        <f t="shared" si="260"/>
        <v>6.9444444444444441E-3</v>
      </c>
      <c r="OD66" s="1411">
        <f t="shared" si="261"/>
        <v>6.9444444444444441E-3</v>
      </c>
      <c r="OE66" s="1411">
        <f t="shared" si="262"/>
        <v>6.9444444444444441E-3</v>
      </c>
      <c r="OF66" s="1411">
        <f t="shared" si="263"/>
        <v>6.9444444444444441E-3</v>
      </c>
      <c r="OG66" s="1411">
        <f t="shared" si="264"/>
        <v>6.9444444444444441E-3</v>
      </c>
      <c r="OH66" s="1411">
        <f t="shared" si="265"/>
        <v>6.9444444444444441E-3</v>
      </c>
      <c r="OI66" s="1411">
        <f t="shared" si="266"/>
        <v>6.9444444444444441E-3</v>
      </c>
      <c r="OJ66" s="1411">
        <f t="shared" si="267"/>
        <v>6.9444444444444441E-3</v>
      </c>
      <c r="OK66" s="1411">
        <f t="shared" si="268"/>
        <v>6.9444444444444441E-3</v>
      </c>
      <c r="OL66" s="1411">
        <f t="shared" si="269"/>
        <v>6.9444444444444441E-3</v>
      </c>
      <c r="OM66" s="1411">
        <f t="shared" si="270"/>
        <v>6.9444444444444441E-3</v>
      </c>
      <c r="ON66" s="1411">
        <f t="shared" si="271"/>
        <v>6.9444444444444441E-3</v>
      </c>
      <c r="OO66" s="1411">
        <f t="shared" si="272"/>
        <v>6.9444444444444441E-3</v>
      </c>
      <c r="OP66" s="1411">
        <f t="shared" si="273"/>
        <v>6.9444444444444441E-3</v>
      </c>
      <c r="OQ66" s="1411">
        <f t="shared" si="274"/>
        <v>6.9444444444444441E-3</v>
      </c>
      <c r="OR66" s="1411">
        <f t="shared" si="275"/>
        <v>6.9444444444444441E-3</v>
      </c>
      <c r="OS66" s="1411">
        <f t="shared" si="276"/>
        <v>6.9444444444444441E-3</v>
      </c>
      <c r="OT66" s="1411">
        <f t="shared" si="277"/>
        <v>6.9444444444444441E-3</v>
      </c>
      <c r="OU66" s="1411">
        <f t="shared" si="278"/>
        <v>6.9444444444444441E-3</v>
      </c>
      <c r="OV66" s="1411">
        <f t="shared" si="279"/>
        <v>6.9444444444444441E-3</v>
      </c>
      <c r="OW66" s="1411">
        <f t="shared" si="280"/>
        <v>6.9444444444444441E-3</v>
      </c>
      <c r="OX66" s="1411">
        <f t="shared" si="281"/>
        <v>6.9444444444444441E-3</v>
      </c>
      <c r="OY66" s="1411">
        <f t="shared" si="282"/>
        <v>6.9444444444444441E-3</v>
      </c>
      <c r="OZ66" s="1411">
        <f t="shared" si="283"/>
        <v>6.9444444444444441E-3</v>
      </c>
      <c r="PA66" s="1411">
        <f t="shared" si="284"/>
        <v>6.9444444444444441E-3</v>
      </c>
      <c r="PB66" s="1411">
        <f t="shared" si="285"/>
        <v>6.9444444444444441E-3</v>
      </c>
      <c r="PC66" s="1411">
        <f t="shared" si="286"/>
        <v>6.9444444444444441E-3</v>
      </c>
      <c r="PD66" s="1411">
        <f t="shared" si="287"/>
        <v>6.9444444444444441E-3</v>
      </c>
      <c r="PE66" s="1411">
        <f t="shared" si="288"/>
        <v>6.9444444444444441E-3</v>
      </c>
      <c r="PF66" s="1411">
        <f t="shared" si="289"/>
        <v>6.9444444444444441E-3</v>
      </c>
      <c r="PG66" s="1411">
        <f t="shared" si="290"/>
        <v>6.9444444444444441E-3</v>
      </c>
      <c r="PH66" s="1411">
        <f t="shared" si="291"/>
        <v>6.9444444444444441E-3</v>
      </c>
      <c r="PI66" s="1411">
        <f t="shared" si="292"/>
        <v>6.9444444444444441E-3</v>
      </c>
      <c r="PJ66" s="1411">
        <f t="shared" si="293"/>
        <v>6.9444444444444441E-3</v>
      </c>
      <c r="PK66" s="1411">
        <f t="shared" si="294"/>
        <v>6.9444444444444441E-3</v>
      </c>
      <c r="PL66" s="1411">
        <f t="shared" si="295"/>
        <v>6.9444444444444441E-3</v>
      </c>
      <c r="PM66" s="1411">
        <f t="shared" si="296"/>
        <v>6.9444444444444441E-3</v>
      </c>
      <c r="PN66" s="1411">
        <f t="shared" si="297"/>
        <v>6.9444444444444441E-3</v>
      </c>
      <c r="PO66" s="1411">
        <f t="shared" si="298"/>
        <v>6.9444444444444441E-3</v>
      </c>
      <c r="PP66" s="1411">
        <f t="shared" si="299"/>
        <v>6.9444444444444441E-3</v>
      </c>
      <c r="PQ66" s="1411">
        <f t="shared" si="300"/>
        <v>6.9444444444444441E-3</v>
      </c>
      <c r="PR66" s="1411">
        <f t="shared" si="301"/>
        <v>6.9444444444444441E-3</v>
      </c>
      <c r="PS66" s="1411">
        <f t="shared" si="302"/>
        <v>6.9444444444444441E-3</v>
      </c>
      <c r="PT66" s="1411">
        <f t="shared" si="303"/>
        <v>6.9444444444444441E-3</v>
      </c>
      <c r="PU66" s="1411">
        <f t="shared" si="304"/>
        <v>6.9444444444444441E-3</v>
      </c>
      <c r="PV66" s="1411">
        <f t="shared" si="305"/>
        <v>6.9444444444444441E-3</v>
      </c>
      <c r="PW66" s="1411">
        <f t="shared" si="306"/>
        <v>6.9444444444444441E-3</v>
      </c>
      <c r="PX66" s="1411">
        <f t="shared" si="307"/>
        <v>6.9444444444444441E-3</v>
      </c>
      <c r="PY66" s="1411">
        <f t="shared" si="308"/>
        <v>6.9444444444444441E-3</v>
      </c>
      <c r="PZ66" s="1412">
        <f t="shared" si="309"/>
        <v>6.9444444444444441E-3</v>
      </c>
      <c r="QB66" s="33" t="s">
        <v>1072</v>
      </c>
      <c r="QC66" s="1432">
        <f t="shared" si="336"/>
        <v>0.33333333333333309</v>
      </c>
      <c r="QD66" s="744">
        <f t="shared" si="337"/>
        <v>0.33333333333333309</v>
      </c>
      <c r="QE66" s="1068">
        <f t="shared" si="338"/>
        <v>0.33333333333333309</v>
      </c>
      <c r="QF66" s="744">
        <f t="shared" si="339"/>
        <v>0.33333333333333309</v>
      </c>
      <c r="QG66" s="744">
        <f t="shared" si="340"/>
        <v>0.33333333333333309</v>
      </c>
      <c r="QH66" s="1068">
        <f t="shared" si="341"/>
        <v>0.33333333333333309</v>
      </c>
      <c r="QI66" s="744">
        <f t="shared" si="342"/>
        <v>0.49999999999999917</v>
      </c>
      <c r="QJ66" s="1068">
        <f t="shared" si="343"/>
        <v>0.49999999999999917</v>
      </c>
      <c r="QK66" s="744">
        <f t="shared" si="344"/>
        <v>0.49999999999999917</v>
      </c>
      <c r="QL66" s="1068">
        <f t="shared" si="345"/>
        <v>0.49999999999999917</v>
      </c>
      <c r="QM66" s="744">
        <f t="shared" si="346"/>
        <v>0.49999999999999917</v>
      </c>
      <c r="QN66" s="1068">
        <f t="shared" si="347"/>
        <v>0.49999999999999917</v>
      </c>
      <c r="QO66" s="744">
        <f t="shared" si="348"/>
        <v>0.49999999999999917</v>
      </c>
      <c r="QP66" s="1068">
        <f t="shared" si="349"/>
        <v>0.49999999999999917</v>
      </c>
      <c r="QR66" s="1432">
        <f t="shared" si="350"/>
        <v>0.11111111111111115</v>
      </c>
      <c r="QS66" s="744">
        <f t="shared" si="351"/>
        <v>0.11111111111111115</v>
      </c>
      <c r="QT66" s="744">
        <f t="shared" si="352"/>
        <v>0.11111111111111115</v>
      </c>
      <c r="QU66" s="743">
        <f t="shared" si="353"/>
        <v>0.11111111111111115</v>
      </c>
      <c r="QV66" s="744">
        <f t="shared" si="354"/>
        <v>0.11111111111111115</v>
      </c>
      <c r="QW66" s="744">
        <f t="shared" si="355"/>
        <v>0.11111111111111115</v>
      </c>
      <c r="QX66" s="743">
        <f t="shared" si="356"/>
        <v>0.11111111111111115</v>
      </c>
      <c r="QY66" s="744">
        <f t="shared" si="357"/>
        <v>0.11111111111111115</v>
      </c>
      <c r="QZ66" s="745">
        <f t="shared" si="358"/>
        <v>0.11111111111111115</v>
      </c>
      <c r="RC66" s="744">
        <f t="shared" si="359"/>
        <v>5.5555555555555566E-2</v>
      </c>
      <c r="RD66" s="744">
        <f t="shared" si="360"/>
        <v>5.5555555555555566E-2</v>
      </c>
      <c r="RE66" s="744">
        <f t="shared" si="361"/>
        <v>5.5555555555555566E-2</v>
      </c>
      <c r="RF66" s="744">
        <f t="shared" si="362"/>
        <v>5.5555555555555566E-2</v>
      </c>
      <c r="RG66" s="744">
        <f t="shared" si="363"/>
        <v>5.5555555555555566E-2</v>
      </c>
      <c r="RH66" s="744">
        <f t="shared" si="364"/>
        <v>5.5555555555555566E-2</v>
      </c>
      <c r="RI66" s="744">
        <f t="shared" si="365"/>
        <v>5.5555555555555566E-2</v>
      </c>
      <c r="RJ66" s="744">
        <f t="shared" si="366"/>
        <v>5.5555555555555566E-2</v>
      </c>
      <c r="RK66" s="744">
        <f t="shared" si="367"/>
        <v>5.5555555555555566E-2</v>
      </c>
      <c r="RL66" s="1251"/>
      <c r="RM66" s="744">
        <f t="shared" si="368"/>
        <v>5.5555555555555566E-2</v>
      </c>
      <c r="RN66" s="744">
        <f t="shared" si="369"/>
        <v>5.5555555555555566E-2</v>
      </c>
      <c r="RO66" s="744">
        <f t="shared" si="370"/>
        <v>5.5555555555555566E-2</v>
      </c>
      <c r="RP66" s="744">
        <f t="shared" si="371"/>
        <v>5.5555555555555566E-2</v>
      </c>
      <c r="RQ66" s="744">
        <f t="shared" si="372"/>
        <v>5.5555555555555566E-2</v>
      </c>
      <c r="RR66" s="744">
        <f t="shared" si="373"/>
        <v>5.5555555555555566E-2</v>
      </c>
      <c r="RS66" s="744">
        <f t="shared" si="374"/>
        <v>5.5555555555555566E-2</v>
      </c>
      <c r="RT66" s="744">
        <f t="shared" si="375"/>
        <v>5.5555555555555566E-2</v>
      </c>
      <c r="RU66" s="744">
        <f t="shared" si="376"/>
        <v>5.5555555555555566E-2</v>
      </c>
      <c r="RV66" s="744"/>
      <c r="RW66" s="744">
        <f t="shared" si="377"/>
        <v>5.5555555555555566E-2</v>
      </c>
      <c r="RX66" s="744">
        <f t="shared" si="378"/>
        <v>5.5555555555555566E-2</v>
      </c>
      <c r="RY66" s="744">
        <f t="shared" si="379"/>
        <v>5.5555555555555566E-2</v>
      </c>
      <c r="RZ66" s="744">
        <f t="shared" si="380"/>
        <v>5.5555555555555566E-2</v>
      </c>
      <c r="SA66" s="744">
        <f t="shared" si="381"/>
        <v>5.5555555555555566E-2</v>
      </c>
      <c r="SB66" s="744">
        <f t="shared" si="382"/>
        <v>5.5555555555555566E-2</v>
      </c>
      <c r="SC66" s="744">
        <f t="shared" si="383"/>
        <v>5.5555555555555566E-2</v>
      </c>
      <c r="SD66" s="744">
        <f t="shared" si="384"/>
        <v>5.5555555555555566E-2</v>
      </c>
      <c r="SE66" s="744">
        <f t="shared" si="385"/>
        <v>5.5555555555555566E-2</v>
      </c>
      <c r="SF66" s="744"/>
      <c r="SG66" s="744">
        <f t="shared" si="386"/>
        <v>5.5555555555555566E-2</v>
      </c>
      <c r="SH66" s="744">
        <f t="shared" si="387"/>
        <v>5.5555555555555566E-2</v>
      </c>
      <c r="SI66" s="744">
        <f t="shared" si="388"/>
        <v>5.5555555555555566E-2</v>
      </c>
      <c r="SJ66" s="744">
        <f t="shared" si="389"/>
        <v>5.5555555555555566E-2</v>
      </c>
      <c r="SK66" s="744">
        <f t="shared" si="390"/>
        <v>5.5555555555555566E-2</v>
      </c>
      <c r="SL66" s="744">
        <f t="shared" si="391"/>
        <v>5.5555555555555566E-2</v>
      </c>
      <c r="SM66" s="744">
        <f t="shared" si="392"/>
        <v>5.5555555555555566E-2</v>
      </c>
      <c r="SN66" s="744">
        <f t="shared" si="393"/>
        <v>5.5555555555555566E-2</v>
      </c>
      <c r="SO66" s="744">
        <f t="shared" si="394"/>
        <v>5.5555555555555566E-2</v>
      </c>
      <c r="SP66" s="100"/>
      <c r="SQ66" s="114"/>
      <c r="SR66" s="806">
        <f t="shared" si="431"/>
        <v>0.49999999999999994</v>
      </c>
      <c r="SS66" s="806">
        <f t="shared" si="432"/>
        <v>0.49999999999999994</v>
      </c>
      <c r="ST66" s="806">
        <f t="shared" si="433"/>
        <v>0.49999999999999994</v>
      </c>
      <c r="SU66" s="806">
        <f t="shared" si="434"/>
        <v>0.49999999999999994</v>
      </c>
      <c r="SV66" s="806">
        <f t="shared" si="435"/>
        <v>0.49999999999999994</v>
      </c>
      <c r="SW66" s="806">
        <f t="shared" si="436"/>
        <v>0.49999999999999994</v>
      </c>
      <c r="SX66" s="806">
        <f t="shared" si="437"/>
        <v>0.49999999999999994</v>
      </c>
      <c r="SY66" s="806">
        <f t="shared" si="438"/>
        <v>0.49999999999999994</v>
      </c>
      <c r="SZ66" s="806">
        <f t="shared" si="439"/>
        <v>0.49999999999999994</v>
      </c>
      <c r="TA66" s="806"/>
      <c r="TB66" s="806">
        <f t="shared" si="440"/>
        <v>0.49999999999999994</v>
      </c>
      <c r="TC66" s="806">
        <f t="shared" si="441"/>
        <v>0.49999999999999994</v>
      </c>
      <c r="TD66" s="806">
        <f t="shared" si="442"/>
        <v>0.49999999999999994</v>
      </c>
      <c r="TE66" s="806">
        <f t="shared" si="443"/>
        <v>0.49999999999999994</v>
      </c>
      <c r="TF66" s="806">
        <f t="shared" si="444"/>
        <v>0.49999999999999994</v>
      </c>
      <c r="TG66" s="806">
        <f t="shared" si="445"/>
        <v>0.49999999999999994</v>
      </c>
      <c r="TH66" s="806">
        <f t="shared" si="446"/>
        <v>0.49999999999999994</v>
      </c>
      <c r="TI66" s="806">
        <f t="shared" si="447"/>
        <v>0.49999999999999994</v>
      </c>
      <c r="TJ66" s="806">
        <f t="shared" si="448"/>
        <v>0.49999999999999994</v>
      </c>
      <c r="TK66" s="806"/>
      <c r="TL66" s="806">
        <f t="shared" si="449"/>
        <v>0.49999999999999994</v>
      </c>
      <c r="TM66" s="806">
        <f t="shared" si="450"/>
        <v>0.49999999999999994</v>
      </c>
      <c r="TN66" s="806">
        <f t="shared" si="451"/>
        <v>0.49999999999999994</v>
      </c>
      <c r="TO66" s="806">
        <f t="shared" si="452"/>
        <v>0.49999999999999994</v>
      </c>
      <c r="TP66" s="806">
        <f t="shared" si="453"/>
        <v>0.49999999999999994</v>
      </c>
      <c r="TQ66" s="806">
        <f t="shared" si="454"/>
        <v>0.49999999999999994</v>
      </c>
      <c r="TR66" s="806">
        <f t="shared" si="455"/>
        <v>0.49999999999999994</v>
      </c>
      <c r="TS66" s="806">
        <f t="shared" si="456"/>
        <v>0.49999999999999994</v>
      </c>
      <c r="TT66" s="806">
        <f t="shared" si="457"/>
        <v>0.49999999999999994</v>
      </c>
      <c r="TU66" s="806"/>
      <c r="TV66" s="806">
        <f t="shared" si="458"/>
        <v>0.49999999999999994</v>
      </c>
      <c r="TW66" s="806">
        <f t="shared" si="459"/>
        <v>0.49999999999999994</v>
      </c>
      <c r="TX66" s="806">
        <f t="shared" si="460"/>
        <v>0.49999999999999994</v>
      </c>
      <c r="TY66" s="806">
        <f t="shared" si="461"/>
        <v>0.49999999999999994</v>
      </c>
      <c r="TZ66" s="806">
        <f t="shared" si="462"/>
        <v>0.49999999999999994</v>
      </c>
      <c r="UA66" s="806">
        <f t="shared" si="463"/>
        <v>0.49999999999999994</v>
      </c>
      <c r="UB66" s="806">
        <f t="shared" si="464"/>
        <v>0.49999999999999994</v>
      </c>
      <c r="UC66" s="806">
        <f t="shared" si="465"/>
        <v>0.49999999999999994</v>
      </c>
      <c r="UD66" s="1439">
        <f t="shared" si="466"/>
        <v>0.49999999999999994</v>
      </c>
    </row>
    <row r="67" spans="3:550" s="7" customFormat="1" x14ac:dyDescent="0.25">
      <c r="C67" s="21"/>
      <c r="D67" s="1308">
        <v>44042</v>
      </c>
      <c r="E67" s="233">
        <v>0</v>
      </c>
      <c r="F67" s="1392">
        <v>0</v>
      </c>
      <c r="G67" s="1392">
        <v>0</v>
      </c>
      <c r="H67" s="1392">
        <v>0</v>
      </c>
      <c r="I67" s="1392">
        <v>0</v>
      </c>
      <c r="J67" s="1392">
        <v>0</v>
      </c>
      <c r="K67" s="1392">
        <v>0</v>
      </c>
      <c r="L67" s="1392">
        <v>0</v>
      </c>
      <c r="M67" s="1392">
        <v>0</v>
      </c>
      <c r="N67" s="1392">
        <v>0</v>
      </c>
      <c r="O67" s="1392">
        <v>0</v>
      </c>
      <c r="P67" s="1392">
        <v>0</v>
      </c>
      <c r="Q67" s="1392">
        <v>0</v>
      </c>
      <c r="R67" s="1392">
        <v>0</v>
      </c>
      <c r="S67" s="1392">
        <v>0</v>
      </c>
      <c r="T67" s="1392">
        <v>0</v>
      </c>
      <c r="U67" s="1392">
        <v>0</v>
      </c>
      <c r="V67" s="1392">
        <v>0</v>
      </c>
      <c r="W67" s="1392">
        <v>0</v>
      </c>
      <c r="X67" s="1392">
        <v>0</v>
      </c>
      <c r="Y67" s="1392">
        <v>0</v>
      </c>
      <c r="Z67" s="1392">
        <v>0</v>
      </c>
      <c r="AA67" s="1392">
        <v>0</v>
      </c>
      <c r="AB67" s="1392">
        <v>0</v>
      </c>
      <c r="AC67" s="1392">
        <v>0</v>
      </c>
      <c r="AD67" s="1392">
        <v>0</v>
      </c>
      <c r="AE67" s="1392">
        <v>0</v>
      </c>
      <c r="AF67" s="1392">
        <v>0</v>
      </c>
      <c r="AG67" s="1392">
        <v>0</v>
      </c>
      <c r="AH67" s="1392">
        <v>0</v>
      </c>
      <c r="AI67" s="1392">
        <v>0</v>
      </c>
      <c r="AJ67" s="1392">
        <v>0</v>
      </c>
      <c r="AK67" s="1392">
        <v>0</v>
      </c>
      <c r="AL67" s="1392">
        <v>0</v>
      </c>
      <c r="AM67" s="1392">
        <v>0</v>
      </c>
      <c r="AN67" s="1392">
        <v>0</v>
      </c>
      <c r="AO67" s="1392">
        <v>0</v>
      </c>
      <c r="AP67" s="1392">
        <v>0</v>
      </c>
      <c r="AQ67" s="1392">
        <v>0</v>
      </c>
      <c r="AR67" s="1392">
        <v>0</v>
      </c>
      <c r="AS67" s="1392">
        <v>0</v>
      </c>
      <c r="AT67" s="1392">
        <v>0</v>
      </c>
      <c r="AU67" s="1392">
        <v>0</v>
      </c>
      <c r="AV67" s="1392">
        <v>0</v>
      </c>
      <c r="AW67" s="1392">
        <v>0</v>
      </c>
      <c r="AX67" s="1392">
        <v>0</v>
      </c>
      <c r="AY67" s="1392">
        <v>0</v>
      </c>
      <c r="AZ67" s="1392">
        <v>0</v>
      </c>
      <c r="BA67" s="1392">
        <v>0</v>
      </c>
      <c r="BB67" s="1392">
        <v>0</v>
      </c>
      <c r="BC67" s="1392">
        <v>0</v>
      </c>
      <c r="BD67" s="1392">
        <v>0</v>
      </c>
      <c r="BE67" s="1392">
        <v>0</v>
      </c>
      <c r="BF67" s="1392">
        <v>0</v>
      </c>
      <c r="BG67" s="1392">
        <v>0</v>
      </c>
      <c r="BH67" s="1392">
        <v>0</v>
      </c>
      <c r="BI67" s="1392">
        <v>0</v>
      </c>
      <c r="BJ67" s="1392">
        <v>0</v>
      </c>
      <c r="BK67" s="1392">
        <v>0</v>
      </c>
      <c r="BL67" s="1392">
        <v>0</v>
      </c>
      <c r="BM67" s="1392">
        <v>0</v>
      </c>
      <c r="BN67" s="1392">
        <v>0</v>
      </c>
      <c r="BO67" s="1392">
        <v>0</v>
      </c>
      <c r="BP67" s="1392">
        <v>0</v>
      </c>
      <c r="BQ67" s="1392">
        <v>0</v>
      </c>
      <c r="BR67" s="1392">
        <v>0</v>
      </c>
      <c r="BS67" s="1392">
        <v>0</v>
      </c>
      <c r="BT67" s="1392">
        <v>0</v>
      </c>
      <c r="BU67" s="1392">
        <v>0</v>
      </c>
      <c r="BV67" s="1392">
        <v>0</v>
      </c>
      <c r="BW67" s="1392">
        <v>0</v>
      </c>
      <c r="BX67" s="1392">
        <v>0</v>
      </c>
      <c r="BY67" s="1392">
        <v>0</v>
      </c>
      <c r="BZ67" s="1392">
        <v>0</v>
      </c>
      <c r="CA67" s="1392">
        <v>0</v>
      </c>
      <c r="CB67" s="1392">
        <v>0</v>
      </c>
      <c r="CC67" s="1392">
        <v>0</v>
      </c>
      <c r="CD67" s="1392">
        <v>0</v>
      </c>
      <c r="CE67" s="1392">
        <v>0</v>
      </c>
      <c r="CF67" s="1392">
        <v>0</v>
      </c>
      <c r="CG67" s="1392">
        <v>0</v>
      </c>
      <c r="CH67" s="1392">
        <v>0</v>
      </c>
      <c r="CI67" s="1392">
        <v>0</v>
      </c>
      <c r="CJ67" s="1392">
        <v>0</v>
      </c>
      <c r="CK67" s="1392">
        <v>0</v>
      </c>
      <c r="CL67" s="1392">
        <v>0</v>
      </c>
      <c r="CM67" s="1392">
        <v>0</v>
      </c>
      <c r="CN67" s="1392">
        <v>0</v>
      </c>
      <c r="CO67" s="1392">
        <v>0</v>
      </c>
      <c r="CP67" s="1392">
        <v>0</v>
      </c>
      <c r="CQ67" s="1392">
        <v>0</v>
      </c>
      <c r="CR67" s="1392">
        <v>0</v>
      </c>
      <c r="CS67" s="1392">
        <v>0</v>
      </c>
      <c r="CT67" s="1392">
        <v>0</v>
      </c>
      <c r="CU67" s="1392">
        <v>0</v>
      </c>
      <c r="CV67" s="1392">
        <v>0</v>
      </c>
      <c r="CW67" s="1392">
        <v>0</v>
      </c>
      <c r="CX67" s="1392">
        <v>0</v>
      </c>
      <c r="CY67" s="1392">
        <v>0</v>
      </c>
      <c r="CZ67" s="1392">
        <v>0</v>
      </c>
      <c r="DA67" s="1392">
        <v>0</v>
      </c>
      <c r="DB67" s="1392">
        <v>0</v>
      </c>
      <c r="DC67" s="1392">
        <v>0</v>
      </c>
      <c r="DD67" s="1392">
        <v>0</v>
      </c>
      <c r="DE67" s="1392">
        <v>0</v>
      </c>
      <c r="DF67" s="1392">
        <v>0</v>
      </c>
      <c r="DG67" s="1392">
        <v>0</v>
      </c>
      <c r="DH67" s="1392">
        <v>0</v>
      </c>
      <c r="DI67" s="1392">
        <v>0</v>
      </c>
      <c r="DJ67" s="1392">
        <v>0</v>
      </c>
      <c r="DK67" s="1392">
        <v>0</v>
      </c>
      <c r="DL67" s="1392">
        <v>0</v>
      </c>
      <c r="DM67" s="1392">
        <v>0</v>
      </c>
      <c r="DN67" s="1392">
        <v>0</v>
      </c>
      <c r="DO67" s="1392">
        <v>0</v>
      </c>
      <c r="DP67" s="1392">
        <v>0</v>
      </c>
      <c r="DQ67" s="1392">
        <v>0</v>
      </c>
      <c r="DR67" s="1392">
        <v>0</v>
      </c>
      <c r="DS67" s="1392">
        <v>0</v>
      </c>
      <c r="DT67" s="1392">
        <v>0</v>
      </c>
      <c r="DU67" s="1392">
        <v>0</v>
      </c>
      <c r="DV67" s="1392">
        <v>0</v>
      </c>
      <c r="DW67" s="1392">
        <v>0</v>
      </c>
      <c r="DX67" s="1392">
        <v>0</v>
      </c>
      <c r="DY67" s="1392">
        <v>0</v>
      </c>
      <c r="DZ67" s="1392">
        <v>0</v>
      </c>
      <c r="EA67" s="1392">
        <v>0</v>
      </c>
      <c r="EB67" s="1392">
        <v>0</v>
      </c>
      <c r="EC67" s="1392">
        <v>0</v>
      </c>
      <c r="ED67" s="1392">
        <v>0</v>
      </c>
      <c r="EE67" s="1392">
        <v>0</v>
      </c>
      <c r="EF67" s="1392">
        <v>0</v>
      </c>
      <c r="EG67" s="1392">
        <v>0</v>
      </c>
      <c r="EH67" s="1392">
        <v>0</v>
      </c>
      <c r="EI67" s="1392">
        <v>0</v>
      </c>
      <c r="EJ67" s="1392">
        <v>0</v>
      </c>
      <c r="EK67" s="1392">
        <v>0</v>
      </c>
      <c r="EL67" s="1392">
        <v>0</v>
      </c>
      <c r="EM67" s="1392">
        <v>0</v>
      </c>
      <c r="EN67" s="1392">
        <v>0</v>
      </c>
      <c r="EO67" s="1392">
        <v>0</v>
      </c>
      <c r="EP67" s="1392">
        <v>0</v>
      </c>
      <c r="EQ67" s="1392">
        <v>0</v>
      </c>
      <c r="ER67" s="1393">
        <v>0</v>
      </c>
      <c r="ES67" s="377"/>
      <c r="ET67" s="316">
        <f t="shared" si="335"/>
        <v>1</v>
      </c>
      <c r="EU67" s="1392">
        <f t="shared" si="20"/>
        <v>1</v>
      </c>
      <c r="EV67" s="1392">
        <f t="shared" si="21"/>
        <v>1</v>
      </c>
      <c r="EW67" s="1392">
        <f t="shared" si="22"/>
        <v>1</v>
      </c>
      <c r="EX67" s="1392">
        <f t="shared" si="23"/>
        <v>1</v>
      </c>
      <c r="EY67" s="1392">
        <f t="shared" si="24"/>
        <v>1</v>
      </c>
      <c r="EZ67" s="1392">
        <f t="shared" si="25"/>
        <v>1</v>
      </c>
      <c r="FA67" s="1392">
        <f t="shared" si="26"/>
        <v>1</v>
      </c>
      <c r="FB67" s="1392">
        <f t="shared" si="27"/>
        <v>1</v>
      </c>
      <c r="FC67" s="1392">
        <f t="shared" si="28"/>
        <v>1</v>
      </c>
      <c r="FD67" s="1392">
        <f t="shared" si="29"/>
        <v>1</v>
      </c>
      <c r="FE67" s="1392">
        <f t="shared" si="30"/>
        <v>1</v>
      </c>
      <c r="FF67" s="1392">
        <f t="shared" si="31"/>
        <v>1</v>
      </c>
      <c r="FG67" s="1392">
        <f t="shared" si="32"/>
        <v>1</v>
      </c>
      <c r="FH67" s="1392">
        <f t="shared" si="33"/>
        <v>1</v>
      </c>
      <c r="FI67" s="1392">
        <f t="shared" si="34"/>
        <v>1</v>
      </c>
      <c r="FJ67" s="1392">
        <f t="shared" si="35"/>
        <v>1</v>
      </c>
      <c r="FK67" s="1392">
        <f t="shared" si="36"/>
        <v>1</v>
      </c>
      <c r="FL67" s="1392">
        <f t="shared" si="37"/>
        <v>1</v>
      </c>
      <c r="FM67" s="1392">
        <f t="shared" si="38"/>
        <v>1</v>
      </c>
      <c r="FN67" s="1392">
        <f t="shared" si="39"/>
        <v>1</v>
      </c>
      <c r="FO67" s="1392">
        <f t="shared" si="40"/>
        <v>1</v>
      </c>
      <c r="FP67" s="1392">
        <f t="shared" si="41"/>
        <v>1</v>
      </c>
      <c r="FQ67" s="1392">
        <f t="shared" si="42"/>
        <v>1</v>
      </c>
      <c r="FR67" s="1392">
        <f t="shared" si="43"/>
        <v>1</v>
      </c>
      <c r="FS67" s="1392">
        <f t="shared" si="44"/>
        <v>1</v>
      </c>
      <c r="FT67" s="1392">
        <f t="shared" si="45"/>
        <v>1</v>
      </c>
      <c r="FU67" s="1392">
        <f t="shared" si="46"/>
        <v>1</v>
      </c>
      <c r="FV67" s="1392">
        <f t="shared" si="47"/>
        <v>1</v>
      </c>
      <c r="FW67" s="1392">
        <f t="shared" si="48"/>
        <v>1</v>
      </c>
      <c r="FX67" s="1392">
        <f t="shared" si="49"/>
        <v>1</v>
      </c>
      <c r="FY67" s="1392">
        <f t="shared" si="50"/>
        <v>1</v>
      </c>
      <c r="FZ67" s="1392">
        <f t="shared" si="51"/>
        <v>1</v>
      </c>
      <c r="GA67" s="1392">
        <f t="shared" si="52"/>
        <v>1</v>
      </c>
      <c r="GB67" s="1392">
        <f t="shared" si="53"/>
        <v>1</v>
      </c>
      <c r="GC67" s="1392">
        <f t="shared" si="54"/>
        <v>1</v>
      </c>
      <c r="GD67" s="1392">
        <f t="shared" si="55"/>
        <v>1</v>
      </c>
      <c r="GE67" s="1392">
        <f t="shared" si="56"/>
        <v>1</v>
      </c>
      <c r="GF67" s="1392">
        <f t="shared" si="57"/>
        <v>1</v>
      </c>
      <c r="GG67" s="1392">
        <f t="shared" si="58"/>
        <v>1</v>
      </c>
      <c r="GH67" s="1392">
        <f t="shared" si="59"/>
        <v>1</v>
      </c>
      <c r="GI67" s="1392">
        <f t="shared" si="60"/>
        <v>1</v>
      </c>
      <c r="GJ67" s="1392">
        <f t="shared" si="61"/>
        <v>1</v>
      </c>
      <c r="GK67" s="1392">
        <f t="shared" si="62"/>
        <v>1</v>
      </c>
      <c r="GL67" s="1392">
        <f t="shared" si="63"/>
        <v>1</v>
      </c>
      <c r="GM67" s="1392">
        <f t="shared" si="64"/>
        <v>1</v>
      </c>
      <c r="GN67" s="1392">
        <f t="shared" si="65"/>
        <v>1</v>
      </c>
      <c r="GO67" s="1392">
        <f t="shared" si="66"/>
        <v>1</v>
      </c>
      <c r="GP67" s="1392">
        <f t="shared" si="67"/>
        <v>1</v>
      </c>
      <c r="GQ67" s="1392">
        <f t="shared" si="68"/>
        <v>1</v>
      </c>
      <c r="GR67" s="1392">
        <f t="shared" si="69"/>
        <v>1</v>
      </c>
      <c r="GS67" s="1392">
        <f t="shared" si="70"/>
        <v>1</v>
      </c>
      <c r="GT67" s="1392">
        <f t="shared" si="71"/>
        <v>1</v>
      </c>
      <c r="GU67" s="1392">
        <f t="shared" si="72"/>
        <v>1</v>
      </c>
      <c r="GV67" s="1392">
        <f t="shared" si="73"/>
        <v>1</v>
      </c>
      <c r="GW67" s="1392">
        <f t="shared" si="74"/>
        <v>1</v>
      </c>
      <c r="GX67" s="1392">
        <f t="shared" si="75"/>
        <v>1</v>
      </c>
      <c r="GY67" s="1392">
        <f t="shared" si="76"/>
        <v>1</v>
      </c>
      <c r="GZ67" s="1392">
        <f t="shared" si="77"/>
        <v>1</v>
      </c>
      <c r="HA67" s="1392">
        <f t="shared" si="78"/>
        <v>1</v>
      </c>
      <c r="HB67" s="1392">
        <f t="shared" si="79"/>
        <v>1</v>
      </c>
      <c r="HC67" s="1392">
        <f t="shared" si="80"/>
        <v>1</v>
      </c>
      <c r="HD67" s="1392">
        <f t="shared" si="81"/>
        <v>1</v>
      </c>
      <c r="HE67" s="1392">
        <f t="shared" si="82"/>
        <v>1</v>
      </c>
      <c r="HF67" s="1392">
        <f t="shared" si="83"/>
        <v>1</v>
      </c>
      <c r="HG67" s="1392">
        <f t="shared" si="84"/>
        <v>1</v>
      </c>
      <c r="HH67" s="1392">
        <f t="shared" si="85"/>
        <v>1</v>
      </c>
      <c r="HI67" s="1392">
        <f t="shared" si="86"/>
        <v>1</v>
      </c>
      <c r="HJ67" s="1392">
        <f t="shared" si="87"/>
        <v>1</v>
      </c>
      <c r="HK67" s="1392">
        <f t="shared" si="88"/>
        <v>1</v>
      </c>
      <c r="HL67" s="1392">
        <f t="shared" si="89"/>
        <v>1</v>
      </c>
      <c r="HM67" s="1392">
        <f t="shared" si="90"/>
        <v>1</v>
      </c>
      <c r="HN67" s="1392">
        <f t="shared" si="91"/>
        <v>1</v>
      </c>
      <c r="HO67" s="1392">
        <f t="shared" si="92"/>
        <v>1</v>
      </c>
      <c r="HP67" s="1392">
        <f t="shared" si="93"/>
        <v>1</v>
      </c>
      <c r="HQ67" s="1392">
        <f t="shared" si="94"/>
        <v>1</v>
      </c>
      <c r="HR67" s="1392">
        <f t="shared" si="95"/>
        <v>1</v>
      </c>
      <c r="HS67" s="1392">
        <f t="shared" si="96"/>
        <v>1</v>
      </c>
      <c r="HT67" s="1392">
        <f t="shared" si="97"/>
        <v>1</v>
      </c>
      <c r="HU67" s="1392">
        <f t="shared" si="98"/>
        <v>1</v>
      </c>
      <c r="HV67" s="1392">
        <f t="shared" si="99"/>
        <v>1</v>
      </c>
      <c r="HW67" s="1392">
        <f t="shared" si="100"/>
        <v>1</v>
      </c>
      <c r="HX67" s="1392">
        <f t="shared" si="101"/>
        <v>1</v>
      </c>
      <c r="HY67" s="1392">
        <f t="shared" si="102"/>
        <v>1</v>
      </c>
      <c r="HZ67" s="1392">
        <f t="shared" si="103"/>
        <v>1</v>
      </c>
      <c r="IA67" s="1392">
        <f t="shared" si="104"/>
        <v>1</v>
      </c>
      <c r="IB67" s="1392">
        <f t="shared" si="105"/>
        <v>1</v>
      </c>
      <c r="IC67" s="1392">
        <f t="shared" si="106"/>
        <v>1</v>
      </c>
      <c r="ID67" s="1392">
        <f t="shared" si="107"/>
        <v>1</v>
      </c>
      <c r="IE67" s="1392">
        <f t="shared" si="108"/>
        <v>1</v>
      </c>
      <c r="IF67" s="1392">
        <f t="shared" si="109"/>
        <v>1</v>
      </c>
      <c r="IG67" s="1392">
        <f t="shared" si="110"/>
        <v>1</v>
      </c>
      <c r="IH67" s="1392">
        <f t="shared" si="111"/>
        <v>1</v>
      </c>
      <c r="II67" s="1392">
        <f t="shared" si="112"/>
        <v>1</v>
      </c>
      <c r="IJ67" s="1392">
        <f t="shared" si="113"/>
        <v>1</v>
      </c>
      <c r="IK67" s="1392">
        <f t="shared" si="114"/>
        <v>1</v>
      </c>
      <c r="IL67" s="1392">
        <f t="shared" si="115"/>
        <v>1</v>
      </c>
      <c r="IM67" s="1392">
        <f t="shared" si="116"/>
        <v>1</v>
      </c>
      <c r="IN67" s="1392">
        <f t="shared" si="117"/>
        <v>1</v>
      </c>
      <c r="IO67" s="1392">
        <f t="shared" si="118"/>
        <v>1</v>
      </c>
      <c r="IP67" s="1392">
        <f t="shared" si="119"/>
        <v>1</v>
      </c>
      <c r="IQ67" s="1392">
        <f t="shared" si="120"/>
        <v>1</v>
      </c>
      <c r="IR67" s="1392">
        <f t="shared" si="121"/>
        <v>1</v>
      </c>
      <c r="IS67" s="1392">
        <f t="shared" si="122"/>
        <v>1</v>
      </c>
      <c r="IT67" s="1392">
        <f t="shared" si="123"/>
        <v>1</v>
      </c>
      <c r="IU67" s="1392">
        <f t="shared" si="124"/>
        <v>1</v>
      </c>
      <c r="IV67" s="1392">
        <f t="shared" si="125"/>
        <v>1</v>
      </c>
      <c r="IW67" s="1392">
        <f t="shared" si="126"/>
        <v>1</v>
      </c>
      <c r="IX67" s="1392">
        <f t="shared" si="127"/>
        <v>1</v>
      </c>
      <c r="IY67" s="1392">
        <f t="shared" si="128"/>
        <v>1</v>
      </c>
      <c r="IZ67" s="1392">
        <f t="shared" si="129"/>
        <v>1</v>
      </c>
      <c r="JA67" s="1392">
        <f t="shared" si="130"/>
        <v>1</v>
      </c>
      <c r="JB67" s="1392">
        <f t="shared" si="131"/>
        <v>1</v>
      </c>
      <c r="JC67" s="1392">
        <f t="shared" si="132"/>
        <v>1</v>
      </c>
      <c r="JD67" s="1392">
        <f t="shared" si="133"/>
        <v>1</v>
      </c>
      <c r="JE67" s="1392">
        <f t="shared" si="134"/>
        <v>1</v>
      </c>
      <c r="JF67" s="1392">
        <f t="shared" si="135"/>
        <v>1</v>
      </c>
      <c r="JG67" s="1392">
        <f t="shared" si="136"/>
        <v>1</v>
      </c>
      <c r="JH67" s="1392">
        <f t="shared" si="137"/>
        <v>1</v>
      </c>
      <c r="JI67" s="1392">
        <f t="shared" si="138"/>
        <v>1</v>
      </c>
      <c r="JJ67" s="1392">
        <f t="shared" si="139"/>
        <v>1</v>
      </c>
      <c r="JK67" s="1392">
        <f t="shared" si="140"/>
        <v>1</v>
      </c>
      <c r="JL67" s="1392">
        <f t="shared" si="141"/>
        <v>1</v>
      </c>
      <c r="JM67" s="1392">
        <f t="shared" si="142"/>
        <v>1</v>
      </c>
      <c r="JN67" s="1392">
        <f t="shared" si="143"/>
        <v>1</v>
      </c>
      <c r="JO67" s="1392">
        <f t="shared" si="144"/>
        <v>1</v>
      </c>
      <c r="JP67" s="1392">
        <f t="shared" si="145"/>
        <v>1</v>
      </c>
      <c r="JQ67" s="1392">
        <f t="shared" si="146"/>
        <v>1</v>
      </c>
      <c r="JR67" s="1392">
        <f t="shared" si="147"/>
        <v>1</v>
      </c>
      <c r="JS67" s="1392">
        <f t="shared" si="148"/>
        <v>1</v>
      </c>
      <c r="JT67" s="1392">
        <f t="shared" si="149"/>
        <v>1</v>
      </c>
      <c r="JU67" s="1392">
        <f t="shared" si="150"/>
        <v>1</v>
      </c>
      <c r="JV67" s="1392">
        <f t="shared" si="151"/>
        <v>1</v>
      </c>
      <c r="JW67" s="1392">
        <f t="shared" si="152"/>
        <v>1</v>
      </c>
      <c r="JX67" s="1392">
        <f t="shared" si="153"/>
        <v>1</v>
      </c>
      <c r="JY67" s="1392">
        <f t="shared" si="154"/>
        <v>1</v>
      </c>
      <c r="JZ67" s="1392">
        <f t="shared" si="155"/>
        <v>1</v>
      </c>
      <c r="KA67" s="1392">
        <f t="shared" si="156"/>
        <v>1</v>
      </c>
      <c r="KB67" s="1392">
        <f t="shared" si="157"/>
        <v>1</v>
      </c>
      <c r="KC67" s="1392">
        <f t="shared" si="158"/>
        <v>1</v>
      </c>
      <c r="KD67" s="1392">
        <f t="shared" si="159"/>
        <v>1</v>
      </c>
      <c r="KE67" s="1392">
        <f t="shared" si="160"/>
        <v>1</v>
      </c>
      <c r="KF67" s="1392">
        <f t="shared" si="161"/>
        <v>1</v>
      </c>
      <c r="KG67" s="1399">
        <f t="shared" si="162"/>
        <v>1</v>
      </c>
      <c r="KH67" s="1406">
        <f t="shared" si="163"/>
        <v>144</v>
      </c>
      <c r="KI67" s="377"/>
      <c r="KJ67" s="1444">
        <f t="shared" si="164"/>
        <v>19.879253198304003</v>
      </c>
      <c r="KK67" s="49">
        <f t="shared" si="165"/>
        <v>0</v>
      </c>
      <c r="KL67" s="377"/>
      <c r="KM67" s="908">
        <f t="shared" si="166"/>
        <v>6.9444444444444441E-3</v>
      </c>
      <c r="KN67" s="1411">
        <f t="shared" si="167"/>
        <v>6.9444444444444441E-3</v>
      </c>
      <c r="KO67" s="1411">
        <f t="shared" si="168"/>
        <v>6.9444444444444441E-3</v>
      </c>
      <c r="KP67" s="1411">
        <f t="shared" si="169"/>
        <v>6.9444444444444441E-3</v>
      </c>
      <c r="KQ67" s="1411">
        <f t="shared" si="170"/>
        <v>6.9444444444444441E-3</v>
      </c>
      <c r="KR67" s="1411">
        <f t="shared" si="171"/>
        <v>6.9444444444444441E-3</v>
      </c>
      <c r="KS67" s="1411">
        <f t="shared" si="172"/>
        <v>6.9444444444444441E-3</v>
      </c>
      <c r="KT67" s="1411">
        <f t="shared" si="173"/>
        <v>6.9444444444444441E-3</v>
      </c>
      <c r="KU67" s="1411">
        <f t="shared" si="174"/>
        <v>6.9444444444444441E-3</v>
      </c>
      <c r="KV67" s="1411">
        <f t="shared" si="175"/>
        <v>6.9444444444444441E-3</v>
      </c>
      <c r="KW67" s="1411">
        <f t="shared" si="176"/>
        <v>6.9444444444444441E-3</v>
      </c>
      <c r="KX67" s="1411">
        <f t="shared" si="177"/>
        <v>6.9444444444444441E-3</v>
      </c>
      <c r="KY67" s="1411">
        <f t="shared" si="178"/>
        <v>6.9444444444444441E-3</v>
      </c>
      <c r="KZ67" s="1411">
        <f t="shared" si="179"/>
        <v>6.9444444444444441E-3</v>
      </c>
      <c r="LA67" s="1411">
        <f t="shared" si="180"/>
        <v>6.9444444444444441E-3</v>
      </c>
      <c r="LB67" s="1411">
        <f t="shared" si="181"/>
        <v>6.9444444444444441E-3</v>
      </c>
      <c r="LC67" s="1411">
        <f t="shared" si="182"/>
        <v>6.9444444444444441E-3</v>
      </c>
      <c r="LD67" s="1411">
        <f t="shared" si="183"/>
        <v>6.9444444444444441E-3</v>
      </c>
      <c r="LE67" s="1411">
        <f t="shared" si="184"/>
        <v>6.9444444444444441E-3</v>
      </c>
      <c r="LF67" s="1411">
        <f t="shared" si="185"/>
        <v>6.9444444444444441E-3</v>
      </c>
      <c r="LG67" s="1411">
        <f t="shared" si="186"/>
        <v>6.9444444444444441E-3</v>
      </c>
      <c r="LH67" s="1411">
        <f t="shared" si="187"/>
        <v>6.9444444444444441E-3</v>
      </c>
      <c r="LI67" s="1411">
        <f t="shared" si="188"/>
        <v>6.9444444444444441E-3</v>
      </c>
      <c r="LJ67" s="1411">
        <f t="shared" si="189"/>
        <v>6.9444444444444441E-3</v>
      </c>
      <c r="LK67" s="1411">
        <f t="shared" si="190"/>
        <v>6.9444444444444441E-3</v>
      </c>
      <c r="LL67" s="1411">
        <f t="shared" si="191"/>
        <v>6.9444444444444441E-3</v>
      </c>
      <c r="LM67" s="1411">
        <f t="shared" si="192"/>
        <v>6.9444444444444441E-3</v>
      </c>
      <c r="LN67" s="1411">
        <f t="shared" si="193"/>
        <v>6.9444444444444441E-3</v>
      </c>
      <c r="LO67" s="1411">
        <f t="shared" si="194"/>
        <v>6.9444444444444441E-3</v>
      </c>
      <c r="LP67" s="1411">
        <f t="shared" si="195"/>
        <v>6.9444444444444441E-3</v>
      </c>
      <c r="LQ67" s="1411">
        <f t="shared" si="196"/>
        <v>6.9444444444444441E-3</v>
      </c>
      <c r="LR67" s="1411">
        <f t="shared" si="197"/>
        <v>6.9444444444444441E-3</v>
      </c>
      <c r="LS67" s="1411">
        <f t="shared" si="198"/>
        <v>6.9444444444444441E-3</v>
      </c>
      <c r="LT67" s="1411">
        <f t="shared" si="199"/>
        <v>6.9444444444444441E-3</v>
      </c>
      <c r="LU67" s="1411">
        <f t="shared" si="200"/>
        <v>6.9444444444444441E-3</v>
      </c>
      <c r="LV67" s="1411">
        <f t="shared" si="201"/>
        <v>6.9444444444444441E-3</v>
      </c>
      <c r="LW67" s="1411">
        <f t="shared" si="202"/>
        <v>6.9444444444444441E-3</v>
      </c>
      <c r="LX67" s="1411">
        <f t="shared" si="203"/>
        <v>6.9444444444444441E-3</v>
      </c>
      <c r="LY67" s="1411">
        <f t="shared" si="204"/>
        <v>6.9444444444444441E-3</v>
      </c>
      <c r="LZ67" s="1411">
        <f t="shared" si="205"/>
        <v>6.9444444444444441E-3</v>
      </c>
      <c r="MA67" s="1411">
        <f t="shared" si="206"/>
        <v>6.9444444444444441E-3</v>
      </c>
      <c r="MB67" s="1411">
        <f t="shared" si="207"/>
        <v>6.9444444444444441E-3</v>
      </c>
      <c r="MC67" s="1411">
        <f t="shared" si="208"/>
        <v>6.9444444444444441E-3</v>
      </c>
      <c r="MD67" s="1411">
        <f t="shared" si="209"/>
        <v>6.9444444444444441E-3</v>
      </c>
      <c r="ME67" s="1411">
        <f t="shared" si="210"/>
        <v>6.9444444444444441E-3</v>
      </c>
      <c r="MF67" s="1411">
        <f t="shared" si="211"/>
        <v>6.9444444444444441E-3</v>
      </c>
      <c r="MG67" s="1411">
        <f t="shared" si="212"/>
        <v>6.9444444444444441E-3</v>
      </c>
      <c r="MH67" s="1411">
        <f t="shared" si="213"/>
        <v>6.9444444444444441E-3</v>
      </c>
      <c r="MI67" s="1411">
        <f t="shared" si="214"/>
        <v>6.9444444444444441E-3</v>
      </c>
      <c r="MJ67" s="1411">
        <f t="shared" si="215"/>
        <v>6.9444444444444441E-3</v>
      </c>
      <c r="MK67" s="1411">
        <f t="shared" si="216"/>
        <v>6.9444444444444441E-3</v>
      </c>
      <c r="ML67" s="1411">
        <f t="shared" si="217"/>
        <v>6.9444444444444441E-3</v>
      </c>
      <c r="MM67" s="1411">
        <f t="shared" si="218"/>
        <v>6.9444444444444441E-3</v>
      </c>
      <c r="MN67" s="1411">
        <f t="shared" si="219"/>
        <v>6.9444444444444441E-3</v>
      </c>
      <c r="MO67" s="1411">
        <f t="shared" si="220"/>
        <v>6.9444444444444441E-3</v>
      </c>
      <c r="MP67" s="1411">
        <f t="shared" si="221"/>
        <v>6.9444444444444441E-3</v>
      </c>
      <c r="MQ67" s="1411">
        <f t="shared" si="222"/>
        <v>6.9444444444444441E-3</v>
      </c>
      <c r="MR67" s="1411">
        <f t="shared" si="223"/>
        <v>6.9444444444444441E-3</v>
      </c>
      <c r="MS67" s="1411">
        <f t="shared" si="224"/>
        <v>6.9444444444444441E-3</v>
      </c>
      <c r="MT67" s="1411">
        <f t="shared" si="225"/>
        <v>6.9444444444444441E-3</v>
      </c>
      <c r="MU67" s="1411">
        <f t="shared" si="226"/>
        <v>6.9444444444444441E-3</v>
      </c>
      <c r="MV67" s="1411">
        <f t="shared" si="227"/>
        <v>6.9444444444444441E-3</v>
      </c>
      <c r="MW67" s="1411">
        <f t="shared" si="228"/>
        <v>6.9444444444444441E-3</v>
      </c>
      <c r="MX67" s="1411">
        <f t="shared" si="229"/>
        <v>6.9444444444444441E-3</v>
      </c>
      <c r="MY67" s="1411">
        <f t="shared" si="230"/>
        <v>6.9444444444444441E-3</v>
      </c>
      <c r="MZ67" s="1411">
        <f t="shared" si="231"/>
        <v>6.9444444444444441E-3</v>
      </c>
      <c r="NA67" s="1411">
        <f t="shared" si="232"/>
        <v>6.9444444444444441E-3</v>
      </c>
      <c r="NB67" s="1411">
        <f t="shared" si="233"/>
        <v>6.9444444444444441E-3</v>
      </c>
      <c r="NC67" s="1411">
        <f t="shared" si="234"/>
        <v>6.9444444444444441E-3</v>
      </c>
      <c r="ND67" s="1411">
        <f t="shared" si="235"/>
        <v>6.9444444444444441E-3</v>
      </c>
      <c r="NE67" s="1411">
        <f t="shared" si="236"/>
        <v>6.9444444444444441E-3</v>
      </c>
      <c r="NF67" s="1411">
        <f t="shared" si="237"/>
        <v>6.9444444444444441E-3</v>
      </c>
      <c r="NG67" s="1411">
        <f t="shared" si="238"/>
        <v>6.9444444444444441E-3</v>
      </c>
      <c r="NH67" s="1411">
        <f t="shared" si="239"/>
        <v>6.9444444444444441E-3</v>
      </c>
      <c r="NI67" s="1411">
        <f t="shared" si="240"/>
        <v>6.9444444444444441E-3</v>
      </c>
      <c r="NJ67" s="1411">
        <f t="shared" si="241"/>
        <v>6.9444444444444441E-3</v>
      </c>
      <c r="NK67" s="1411">
        <f t="shared" si="242"/>
        <v>6.9444444444444441E-3</v>
      </c>
      <c r="NL67" s="1411">
        <f t="shared" si="243"/>
        <v>6.9444444444444441E-3</v>
      </c>
      <c r="NM67" s="1411">
        <f t="shared" si="244"/>
        <v>6.9444444444444441E-3</v>
      </c>
      <c r="NN67" s="1411">
        <f t="shared" si="245"/>
        <v>6.9444444444444441E-3</v>
      </c>
      <c r="NO67" s="1411">
        <f t="shared" si="246"/>
        <v>6.9444444444444441E-3</v>
      </c>
      <c r="NP67" s="1411">
        <f t="shared" si="247"/>
        <v>6.9444444444444441E-3</v>
      </c>
      <c r="NQ67" s="1411">
        <f t="shared" si="248"/>
        <v>6.9444444444444441E-3</v>
      </c>
      <c r="NR67" s="1411">
        <f t="shared" si="249"/>
        <v>6.9444444444444441E-3</v>
      </c>
      <c r="NS67" s="1411">
        <f t="shared" si="250"/>
        <v>6.9444444444444441E-3</v>
      </c>
      <c r="NT67" s="1411">
        <f t="shared" si="251"/>
        <v>6.9444444444444441E-3</v>
      </c>
      <c r="NU67" s="1411">
        <f t="shared" si="252"/>
        <v>6.9444444444444441E-3</v>
      </c>
      <c r="NV67" s="1411">
        <f t="shared" si="253"/>
        <v>6.9444444444444441E-3</v>
      </c>
      <c r="NW67" s="1411">
        <f t="shared" si="254"/>
        <v>6.9444444444444441E-3</v>
      </c>
      <c r="NX67" s="1411">
        <f t="shared" si="255"/>
        <v>6.9444444444444441E-3</v>
      </c>
      <c r="NY67" s="1411">
        <f t="shared" si="256"/>
        <v>6.9444444444444441E-3</v>
      </c>
      <c r="NZ67" s="1411">
        <f t="shared" si="257"/>
        <v>6.9444444444444441E-3</v>
      </c>
      <c r="OA67" s="1411">
        <f t="shared" si="258"/>
        <v>6.9444444444444441E-3</v>
      </c>
      <c r="OB67" s="1411">
        <f t="shared" si="259"/>
        <v>6.9444444444444441E-3</v>
      </c>
      <c r="OC67" s="1411">
        <f t="shared" si="260"/>
        <v>6.9444444444444441E-3</v>
      </c>
      <c r="OD67" s="1411">
        <f t="shared" si="261"/>
        <v>6.9444444444444441E-3</v>
      </c>
      <c r="OE67" s="1411">
        <f t="shared" si="262"/>
        <v>6.9444444444444441E-3</v>
      </c>
      <c r="OF67" s="1411">
        <f t="shared" si="263"/>
        <v>6.9444444444444441E-3</v>
      </c>
      <c r="OG67" s="1411">
        <f t="shared" si="264"/>
        <v>6.9444444444444441E-3</v>
      </c>
      <c r="OH67" s="1411">
        <f t="shared" si="265"/>
        <v>6.9444444444444441E-3</v>
      </c>
      <c r="OI67" s="1411">
        <f t="shared" si="266"/>
        <v>6.9444444444444441E-3</v>
      </c>
      <c r="OJ67" s="1411">
        <f t="shared" si="267"/>
        <v>6.9444444444444441E-3</v>
      </c>
      <c r="OK67" s="1411">
        <f t="shared" si="268"/>
        <v>6.9444444444444441E-3</v>
      </c>
      <c r="OL67" s="1411">
        <f t="shared" si="269"/>
        <v>6.9444444444444441E-3</v>
      </c>
      <c r="OM67" s="1411">
        <f t="shared" si="270"/>
        <v>6.9444444444444441E-3</v>
      </c>
      <c r="ON67" s="1411">
        <f t="shared" si="271"/>
        <v>6.9444444444444441E-3</v>
      </c>
      <c r="OO67" s="1411">
        <f t="shared" si="272"/>
        <v>6.9444444444444441E-3</v>
      </c>
      <c r="OP67" s="1411">
        <f t="shared" si="273"/>
        <v>6.9444444444444441E-3</v>
      </c>
      <c r="OQ67" s="1411">
        <f t="shared" si="274"/>
        <v>6.9444444444444441E-3</v>
      </c>
      <c r="OR67" s="1411">
        <f t="shared" si="275"/>
        <v>6.9444444444444441E-3</v>
      </c>
      <c r="OS67" s="1411">
        <f t="shared" si="276"/>
        <v>6.9444444444444441E-3</v>
      </c>
      <c r="OT67" s="1411">
        <f t="shared" si="277"/>
        <v>6.9444444444444441E-3</v>
      </c>
      <c r="OU67" s="1411">
        <f t="shared" si="278"/>
        <v>6.9444444444444441E-3</v>
      </c>
      <c r="OV67" s="1411">
        <f t="shared" si="279"/>
        <v>6.9444444444444441E-3</v>
      </c>
      <c r="OW67" s="1411">
        <f t="shared" si="280"/>
        <v>6.9444444444444441E-3</v>
      </c>
      <c r="OX67" s="1411">
        <f t="shared" si="281"/>
        <v>6.9444444444444441E-3</v>
      </c>
      <c r="OY67" s="1411">
        <f t="shared" si="282"/>
        <v>6.9444444444444441E-3</v>
      </c>
      <c r="OZ67" s="1411">
        <f t="shared" si="283"/>
        <v>6.9444444444444441E-3</v>
      </c>
      <c r="PA67" s="1411">
        <f t="shared" si="284"/>
        <v>6.9444444444444441E-3</v>
      </c>
      <c r="PB67" s="1411">
        <f t="shared" si="285"/>
        <v>6.9444444444444441E-3</v>
      </c>
      <c r="PC67" s="1411">
        <f t="shared" si="286"/>
        <v>6.9444444444444441E-3</v>
      </c>
      <c r="PD67" s="1411">
        <f t="shared" si="287"/>
        <v>6.9444444444444441E-3</v>
      </c>
      <c r="PE67" s="1411">
        <f t="shared" si="288"/>
        <v>6.9444444444444441E-3</v>
      </c>
      <c r="PF67" s="1411">
        <f t="shared" si="289"/>
        <v>6.9444444444444441E-3</v>
      </c>
      <c r="PG67" s="1411">
        <f t="shared" si="290"/>
        <v>6.9444444444444441E-3</v>
      </c>
      <c r="PH67" s="1411">
        <f t="shared" si="291"/>
        <v>6.9444444444444441E-3</v>
      </c>
      <c r="PI67" s="1411">
        <f t="shared" si="292"/>
        <v>6.9444444444444441E-3</v>
      </c>
      <c r="PJ67" s="1411">
        <f t="shared" si="293"/>
        <v>6.9444444444444441E-3</v>
      </c>
      <c r="PK67" s="1411">
        <f t="shared" si="294"/>
        <v>6.9444444444444441E-3</v>
      </c>
      <c r="PL67" s="1411">
        <f t="shared" si="295"/>
        <v>6.9444444444444441E-3</v>
      </c>
      <c r="PM67" s="1411">
        <f t="shared" si="296"/>
        <v>6.9444444444444441E-3</v>
      </c>
      <c r="PN67" s="1411">
        <f t="shared" si="297"/>
        <v>6.9444444444444441E-3</v>
      </c>
      <c r="PO67" s="1411">
        <f t="shared" si="298"/>
        <v>6.9444444444444441E-3</v>
      </c>
      <c r="PP67" s="1411">
        <f t="shared" si="299"/>
        <v>6.9444444444444441E-3</v>
      </c>
      <c r="PQ67" s="1411">
        <f t="shared" si="300"/>
        <v>6.9444444444444441E-3</v>
      </c>
      <c r="PR67" s="1411">
        <f t="shared" si="301"/>
        <v>6.9444444444444441E-3</v>
      </c>
      <c r="PS67" s="1411">
        <f t="shared" si="302"/>
        <v>6.9444444444444441E-3</v>
      </c>
      <c r="PT67" s="1411">
        <f t="shared" si="303"/>
        <v>6.9444444444444441E-3</v>
      </c>
      <c r="PU67" s="1411">
        <f t="shared" si="304"/>
        <v>6.9444444444444441E-3</v>
      </c>
      <c r="PV67" s="1411">
        <f t="shared" si="305"/>
        <v>6.9444444444444441E-3</v>
      </c>
      <c r="PW67" s="1411">
        <f t="shared" si="306"/>
        <v>6.9444444444444441E-3</v>
      </c>
      <c r="PX67" s="1411">
        <f t="shared" si="307"/>
        <v>6.9444444444444441E-3</v>
      </c>
      <c r="PY67" s="1411">
        <f t="shared" si="308"/>
        <v>6.9444444444444441E-3</v>
      </c>
      <c r="PZ67" s="1412">
        <f t="shared" si="309"/>
        <v>6.9444444444444441E-3</v>
      </c>
      <c r="QB67" s="33" t="s">
        <v>1072</v>
      </c>
      <c r="QC67" s="1432">
        <f t="shared" si="336"/>
        <v>0.33333333333333309</v>
      </c>
      <c r="QD67" s="744">
        <f t="shared" si="337"/>
        <v>0.33333333333333309</v>
      </c>
      <c r="QE67" s="1068">
        <f t="shared" si="338"/>
        <v>0.33333333333333309</v>
      </c>
      <c r="QF67" s="744">
        <f t="shared" si="339"/>
        <v>0.33333333333333309</v>
      </c>
      <c r="QG67" s="744">
        <f t="shared" si="340"/>
        <v>0.33333333333333309</v>
      </c>
      <c r="QH67" s="1068">
        <f t="shared" si="341"/>
        <v>0.33333333333333309</v>
      </c>
      <c r="QI67" s="744">
        <f t="shared" si="342"/>
        <v>0.49999999999999917</v>
      </c>
      <c r="QJ67" s="1068">
        <f t="shared" si="343"/>
        <v>0.49999999999999917</v>
      </c>
      <c r="QK67" s="744">
        <f t="shared" si="344"/>
        <v>0.49999999999999917</v>
      </c>
      <c r="QL67" s="1068">
        <f t="shared" si="345"/>
        <v>0.49999999999999917</v>
      </c>
      <c r="QM67" s="744">
        <f t="shared" si="346"/>
        <v>0.49999999999999917</v>
      </c>
      <c r="QN67" s="1068">
        <f t="shared" si="347"/>
        <v>0.49999999999999917</v>
      </c>
      <c r="QO67" s="744">
        <f t="shared" si="348"/>
        <v>0.49999999999999917</v>
      </c>
      <c r="QP67" s="1068">
        <f t="shared" si="349"/>
        <v>0.49999999999999917</v>
      </c>
      <c r="QR67" s="1432">
        <f t="shared" ref="QR67:QR77" si="467">SUM(KM67:LB67)</f>
        <v>0.11111111111111115</v>
      </c>
      <c r="QS67" s="744">
        <f t="shared" ref="QS67:QS77" si="468">SUM(LC67:LR67)</f>
        <v>0.11111111111111115</v>
      </c>
      <c r="QT67" s="744">
        <f t="shared" ref="QT67:QT77" si="469">SUM(LS67:MH67)</f>
        <v>0.11111111111111115</v>
      </c>
      <c r="QU67" s="743">
        <f t="shared" ref="QU67:QU77" si="470">SUM(MI67:MX67)</f>
        <v>0.11111111111111115</v>
      </c>
      <c r="QV67" s="744">
        <f t="shared" ref="QV67:QV77" si="471">SUM(MY67:NN67)</f>
        <v>0.11111111111111115</v>
      </c>
      <c r="QW67" s="744">
        <f t="shared" ref="QW67:QW77" si="472">SUM(NO67:OD67)</f>
        <v>0.11111111111111115</v>
      </c>
      <c r="QX67" s="743">
        <f t="shared" ref="QX67:QX77" si="473">SUM(OE67:OT67)</f>
        <v>0.11111111111111115</v>
      </c>
      <c r="QY67" s="744">
        <f t="shared" ref="QY67:QY77" si="474">SUM(OU67:PJ67)</f>
        <v>0.11111111111111115</v>
      </c>
      <c r="QZ67" s="745">
        <f t="shared" ref="QZ67:QZ77" si="475">SUM(PK67:PZ67)</f>
        <v>0.11111111111111115</v>
      </c>
      <c r="RC67" s="744">
        <f t="shared" si="359"/>
        <v>5.5555555555555566E-2</v>
      </c>
      <c r="RD67" s="744">
        <f t="shared" si="360"/>
        <v>5.5555555555555566E-2</v>
      </c>
      <c r="RE67" s="744">
        <f t="shared" si="361"/>
        <v>5.5555555555555566E-2</v>
      </c>
      <c r="RF67" s="744">
        <f t="shared" si="362"/>
        <v>5.5555555555555566E-2</v>
      </c>
      <c r="RG67" s="744">
        <f t="shared" si="363"/>
        <v>5.5555555555555566E-2</v>
      </c>
      <c r="RH67" s="744">
        <f t="shared" si="364"/>
        <v>5.5555555555555566E-2</v>
      </c>
      <c r="RI67" s="744">
        <f t="shared" si="365"/>
        <v>5.5555555555555566E-2</v>
      </c>
      <c r="RJ67" s="744">
        <f t="shared" si="366"/>
        <v>5.5555555555555566E-2</v>
      </c>
      <c r="RK67" s="744">
        <f t="shared" si="367"/>
        <v>5.5555555555555566E-2</v>
      </c>
      <c r="RL67" s="1251"/>
      <c r="RM67" s="744">
        <f t="shared" si="368"/>
        <v>5.5555555555555566E-2</v>
      </c>
      <c r="RN67" s="744">
        <f t="shared" si="369"/>
        <v>5.5555555555555566E-2</v>
      </c>
      <c r="RO67" s="744">
        <f t="shared" si="370"/>
        <v>5.5555555555555566E-2</v>
      </c>
      <c r="RP67" s="744">
        <f t="shared" si="371"/>
        <v>5.5555555555555566E-2</v>
      </c>
      <c r="RQ67" s="744">
        <f t="shared" si="372"/>
        <v>5.5555555555555566E-2</v>
      </c>
      <c r="RR67" s="744">
        <f t="shared" si="373"/>
        <v>5.5555555555555566E-2</v>
      </c>
      <c r="RS67" s="744">
        <f t="shared" si="374"/>
        <v>5.5555555555555566E-2</v>
      </c>
      <c r="RT67" s="744">
        <f t="shared" si="375"/>
        <v>5.5555555555555566E-2</v>
      </c>
      <c r="RU67" s="744">
        <f t="shared" si="376"/>
        <v>5.5555555555555566E-2</v>
      </c>
      <c r="RV67" s="744"/>
      <c r="RW67" s="744">
        <f t="shared" si="377"/>
        <v>5.5555555555555566E-2</v>
      </c>
      <c r="RX67" s="744">
        <f t="shared" si="378"/>
        <v>5.5555555555555566E-2</v>
      </c>
      <c r="RY67" s="744">
        <f t="shared" si="379"/>
        <v>5.5555555555555566E-2</v>
      </c>
      <c r="RZ67" s="744">
        <f t="shared" si="380"/>
        <v>5.5555555555555566E-2</v>
      </c>
      <c r="SA67" s="744">
        <f t="shared" si="381"/>
        <v>5.5555555555555566E-2</v>
      </c>
      <c r="SB67" s="744">
        <f t="shared" si="382"/>
        <v>5.5555555555555566E-2</v>
      </c>
      <c r="SC67" s="744">
        <f t="shared" si="383"/>
        <v>5.5555555555555566E-2</v>
      </c>
      <c r="SD67" s="744">
        <f t="shared" si="384"/>
        <v>5.5555555555555566E-2</v>
      </c>
      <c r="SE67" s="744">
        <f t="shared" si="385"/>
        <v>5.5555555555555566E-2</v>
      </c>
      <c r="SF67" s="744"/>
      <c r="SG67" s="744">
        <f t="shared" si="386"/>
        <v>5.5555555555555566E-2</v>
      </c>
      <c r="SH67" s="744">
        <f t="shared" si="387"/>
        <v>5.5555555555555566E-2</v>
      </c>
      <c r="SI67" s="744">
        <f t="shared" si="388"/>
        <v>5.5555555555555566E-2</v>
      </c>
      <c r="SJ67" s="744">
        <f t="shared" si="389"/>
        <v>5.5555555555555566E-2</v>
      </c>
      <c r="SK67" s="744">
        <f t="shared" si="390"/>
        <v>5.5555555555555566E-2</v>
      </c>
      <c r="SL67" s="744">
        <f t="shared" si="391"/>
        <v>5.5555555555555566E-2</v>
      </c>
      <c r="SM67" s="744">
        <f t="shared" si="392"/>
        <v>5.5555555555555566E-2</v>
      </c>
      <c r="SN67" s="744">
        <f t="shared" si="393"/>
        <v>5.5555555555555566E-2</v>
      </c>
      <c r="SO67" s="744">
        <f t="shared" si="394"/>
        <v>5.5555555555555566E-2</v>
      </c>
      <c r="SP67" s="100"/>
      <c r="SQ67" s="114"/>
      <c r="SR67" s="806">
        <f t="shared" si="431"/>
        <v>0.49999999999999994</v>
      </c>
      <c r="SS67" s="806">
        <f t="shared" si="432"/>
        <v>0.49999999999999994</v>
      </c>
      <c r="ST67" s="806">
        <f t="shared" si="433"/>
        <v>0.49999999999999994</v>
      </c>
      <c r="SU67" s="806">
        <f t="shared" si="434"/>
        <v>0.49999999999999994</v>
      </c>
      <c r="SV67" s="806">
        <f t="shared" si="435"/>
        <v>0.49999999999999994</v>
      </c>
      <c r="SW67" s="806">
        <f t="shared" si="436"/>
        <v>0.49999999999999994</v>
      </c>
      <c r="SX67" s="806">
        <f t="shared" si="437"/>
        <v>0.49999999999999994</v>
      </c>
      <c r="SY67" s="806">
        <f t="shared" si="438"/>
        <v>0.49999999999999994</v>
      </c>
      <c r="SZ67" s="806">
        <f t="shared" si="439"/>
        <v>0.49999999999999994</v>
      </c>
      <c r="TA67" s="806"/>
      <c r="TB67" s="806">
        <f t="shared" si="440"/>
        <v>0.49999999999999994</v>
      </c>
      <c r="TC67" s="806">
        <f t="shared" si="441"/>
        <v>0.49999999999999994</v>
      </c>
      <c r="TD67" s="806">
        <f t="shared" si="442"/>
        <v>0.49999999999999994</v>
      </c>
      <c r="TE67" s="806">
        <f t="shared" si="443"/>
        <v>0.49999999999999994</v>
      </c>
      <c r="TF67" s="806">
        <f t="shared" si="444"/>
        <v>0.49999999999999994</v>
      </c>
      <c r="TG67" s="806">
        <f t="shared" si="445"/>
        <v>0.49999999999999994</v>
      </c>
      <c r="TH67" s="806">
        <f t="shared" si="446"/>
        <v>0.49999999999999994</v>
      </c>
      <c r="TI67" s="806">
        <f t="shared" si="447"/>
        <v>0.49999999999999994</v>
      </c>
      <c r="TJ67" s="806">
        <f t="shared" si="448"/>
        <v>0.49999999999999994</v>
      </c>
      <c r="TK67" s="806"/>
      <c r="TL67" s="806">
        <f t="shared" si="449"/>
        <v>0.49999999999999994</v>
      </c>
      <c r="TM67" s="806">
        <f t="shared" si="450"/>
        <v>0.49999999999999994</v>
      </c>
      <c r="TN67" s="806">
        <f t="shared" si="451"/>
        <v>0.49999999999999994</v>
      </c>
      <c r="TO67" s="806">
        <f t="shared" si="452"/>
        <v>0.49999999999999994</v>
      </c>
      <c r="TP67" s="806">
        <f t="shared" si="453"/>
        <v>0.49999999999999994</v>
      </c>
      <c r="TQ67" s="806">
        <f t="shared" si="454"/>
        <v>0.49999999999999994</v>
      </c>
      <c r="TR67" s="806">
        <f t="shared" si="455"/>
        <v>0.49999999999999994</v>
      </c>
      <c r="TS67" s="806">
        <f t="shared" si="456"/>
        <v>0.49999999999999994</v>
      </c>
      <c r="TT67" s="806">
        <f t="shared" si="457"/>
        <v>0.49999999999999994</v>
      </c>
      <c r="TU67" s="806"/>
      <c r="TV67" s="806">
        <f t="shared" si="458"/>
        <v>0.49999999999999994</v>
      </c>
      <c r="TW67" s="806">
        <f t="shared" si="459"/>
        <v>0.49999999999999994</v>
      </c>
      <c r="TX67" s="806">
        <f t="shared" si="460"/>
        <v>0.49999999999999994</v>
      </c>
      <c r="TY67" s="806">
        <f t="shared" si="461"/>
        <v>0.49999999999999994</v>
      </c>
      <c r="TZ67" s="806">
        <f t="shared" si="462"/>
        <v>0.49999999999999994</v>
      </c>
      <c r="UA67" s="806">
        <f t="shared" si="463"/>
        <v>0.49999999999999994</v>
      </c>
      <c r="UB67" s="806">
        <f t="shared" si="464"/>
        <v>0.49999999999999994</v>
      </c>
      <c r="UC67" s="806">
        <f t="shared" si="465"/>
        <v>0.49999999999999994</v>
      </c>
      <c r="UD67" s="1439">
        <f t="shared" si="466"/>
        <v>0.49999999999999994</v>
      </c>
    </row>
    <row r="68" spans="3:550" s="7" customFormat="1" x14ac:dyDescent="0.25">
      <c r="C68" s="21"/>
      <c r="D68" s="1308">
        <v>44043</v>
      </c>
      <c r="E68" s="233">
        <v>0</v>
      </c>
      <c r="F68" s="1392">
        <v>0</v>
      </c>
      <c r="G68" s="1392">
        <v>0</v>
      </c>
      <c r="H68" s="1392">
        <v>0</v>
      </c>
      <c r="I68" s="1392">
        <v>0</v>
      </c>
      <c r="J68" s="1392">
        <v>0</v>
      </c>
      <c r="K68" s="1392">
        <v>0</v>
      </c>
      <c r="L68" s="1392">
        <v>0</v>
      </c>
      <c r="M68" s="1392">
        <v>0</v>
      </c>
      <c r="N68" s="1392">
        <v>0</v>
      </c>
      <c r="O68" s="1392">
        <v>0</v>
      </c>
      <c r="P68" s="1392">
        <v>0</v>
      </c>
      <c r="Q68" s="1392">
        <v>0</v>
      </c>
      <c r="R68" s="1392">
        <v>0</v>
      </c>
      <c r="S68" s="1392">
        <v>0</v>
      </c>
      <c r="T68" s="1392">
        <v>0</v>
      </c>
      <c r="U68" s="1392">
        <v>0</v>
      </c>
      <c r="V68" s="1392">
        <v>0</v>
      </c>
      <c r="W68" s="1392">
        <v>0</v>
      </c>
      <c r="X68" s="1392">
        <v>0</v>
      </c>
      <c r="Y68" s="1392">
        <v>0</v>
      </c>
      <c r="Z68" s="1392">
        <v>0</v>
      </c>
      <c r="AA68" s="1392">
        <v>0</v>
      </c>
      <c r="AB68" s="1392">
        <v>0</v>
      </c>
      <c r="AC68" s="1392">
        <v>0</v>
      </c>
      <c r="AD68" s="1392">
        <v>0</v>
      </c>
      <c r="AE68" s="1392">
        <v>0</v>
      </c>
      <c r="AF68" s="1392">
        <v>0</v>
      </c>
      <c r="AG68" s="1392">
        <v>0</v>
      </c>
      <c r="AH68" s="1392">
        <v>0</v>
      </c>
      <c r="AI68" s="1392">
        <v>0</v>
      </c>
      <c r="AJ68" s="1392">
        <v>0</v>
      </c>
      <c r="AK68" s="1392">
        <v>0</v>
      </c>
      <c r="AL68" s="1392">
        <v>0</v>
      </c>
      <c r="AM68" s="1392">
        <v>0</v>
      </c>
      <c r="AN68" s="1392">
        <v>0</v>
      </c>
      <c r="AO68" s="1392">
        <v>0</v>
      </c>
      <c r="AP68" s="1392">
        <v>0</v>
      </c>
      <c r="AQ68" s="1392">
        <v>0</v>
      </c>
      <c r="AR68" s="1392">
        <v>0</v>
      </c>
      <c r="AS68" s="1392">
        <v>0</v>
      </c>
      <c r="AT68" s="1392">
        <v>0</v>
      </c>
      <c r="AU68" s="1392">
        <v>0</v>
      </c>
      <c r="AV68" s="1392">
        <v>0</v>
      </c>
      <c r="AW68" s="1392">
        <v>0</v>
      </c>
      <c r="AX68" s="1392">
        <v>0</v>
      </c>
      <c r="AY68" s="1392">
        <v>0</v>
      </c>
      <c r="AZ68" s="1392">
        <v>0</v>
      </c>
      <c r="BA68" s="1392">
        <v>0</v>
      </c>
      <c r="BB68" s="1392">
        <v>0</v>
      </c>
      <c r="BC68" s="1392">
        <v>0</v>
      </c>
      <c r="BD68" s="1392">
        <v>0</v>
      </c>
      <c r="BE68" s="1392">
        <v>0</v>
      </c>
      <c r="BF68" s="1392">
        <v>0</v>
      </c>
      <c r="BG68" s="1392">
        <v>0</v>
      </c>
      <c r="BH68" s="1392">
        <v>0</v>
      </c>
      <c r="BI68" s="1392">
        <v>0</v>
      </c>
      <c r="BJ68" s="1392">
        <v>0</v>
      </c>
      <c r="BK68" s="1392">
        <v>0</v>
      </c>
      <c r="BL68" s="1392">
        <v>0</v>
      </c>
      <c r="BM68" s="1392">
        <v>0</v>
      </c>
      <c r="BN68" s="1392">
        <v>0</v>
      </c>
      <c r="BO68" s="1392">
        <v>0</v>
      </c>
      <c r="BP68" s="1392">
        <v>0</v>
      </c>
      <c r="BQ68" s="1392">
        <v>0</v>
      </c>
      <c r="BR68" s="1392">
        <v>0</v>
      </c>
      <c r="BS68" s="1392">
        <v>0</v>
      </c>
      <c r="BT68" s="1392">
        <v>0</v>
      </c>
      <c r="BU68" s="1392">
        <v>0</v>
      </c>
      <c r="BV68" s="1392">
        <v>0</v>
      </c>
      <c r="BW68" s="1392">
        <v>0</v>
      </c>
      <c r="BX68" s="1392">
        <v>0</v>
      </c>
      <c r="BY68" s="1392">
        <v>0</v>
      </c>
      <c r="BZ68" s="1392">
        <v>0</v>
      </c>
      <c r="CA68" s="1392">
        <v>0</v>
      </c>
      <c r="CB68" s="1392">
        <v>0</v>
      </c>
      <c r="CC68" s="1392">
        <v>0</v>
      </c>
      <c r="CD68" s="1392">
        <v>0</v>
      </c>
      <c r="CE68" s="1392">
        <v>0</v>
      </c>
      <c r="CF68" s="1392">
        <v>0</v>
      </c>
      <c r="CG68" s="1392">
        <v>0</v>
      </c>
      <c r="CH68" s="1392">
        <v>0</v>
      </c>
      <c r="CI68" s="1392">
        <v>0</v>
      </c>
      <c r="CJ68" s="1392">
        <v>0</v>
      </c>
      <c r="CK68" s="1392">
        <v>0</v>
      </c>
      <c r="CL68" s="1392">
        <v>0</v>
      </c>
      <c r="CM68" s="1392">
        <v>0</v>
      </c>
      <c r="CN68" s="1392">
        <v>0</v>
      </c>
      <c r="CO68" s="1392">
        <v>0</v>
      </c>
      <c r="CP68" s="1392">
        <v>0</v>
      </c>
      <c r="CQ68" s="1392">
        <v>0</v>
      </c>
      <c r="CR68" s="1392">
        <v>0</v>
      </c>
      <c r="CS68" s="1392">
        <v>0</v>
      </c>
      <c r="CT68" s="1392">
        <v>0</v>
      </c>
      <c r="CU68" s="1392">
        <v>0</v>
      </c>
      <c r="CV68" s="1392">
        <v>0</v>
      </c>
      <c r="CW68" s="1392">
        <v>0</v>
      </c>
      <c r="CX68" s="1392">
        <v>0</v>
      </c>
      <c r="CY68" s="1392">
        <v>0</v>
      </c>
      <c r="CZ68" s="1392">
        <v>0</v>
      </c>
      <c r="DA68" s="1392">
        <v>0</v>
      </c>
      <c r="DB68" s="1392">
        <v>0</v>
      </c>
      <c r="DC68" s="1392">
        <v>0</v>
      </c>
      <c r="DD68" s="1392">
        <v>0</v>
      </c>
      <c r="DE68" s="1392">
        <v>0</v>
      </c>
      <c r="DF68" s="1392">
        <v>0</v>
      </c>
      <c r="DG68" s="1392">
        <v>0</v>
      </c>
      <c r="DH68" s="1392">
        <v>0</v>
      </c>
      <c r="DI68" s="1392">
        <v>0</v>
      </c>
      <c r="DJ68" s="1392">
        <v>0</v>
      </c>
      <c r="DK68" s="1392">
        <v>0</v>
      </c>
      <c r="DL68" s="1392">
        <v>0</v>
      </c>
      <c r="DM68" s="1392">
        <v>0</v>
      </c>
      <c r="DN68" s="1392">
        <v>0</v>
      </c>
      <c r="DO68" s="1392">
        <v>0</v>
      </c>
      <c r="DP68" s="1392">
        <v>0</v>
      </c>
      <c r="DQ68" s="1392">
        <v>0</v>
      </c>
      <c r="DR68" s="1392">
        <v>0</v>
      </c>
      <c r="DS68" s="1392">
        <v>0</v>
      </c>
      <c r="DT68" s="1392">
        <v>0</v>
      </c>
      <c r="DU68" s="1392">
        <v>0</v>
      </c>
      <c r="DV68" s="1392">
        <v>0</v>
      </c>
      <c r="DW68" s="1392">
        <v>0</v>
      </c>
      <c r="DX68" s="1392">
        <v>0</v>
      </c>
      <c r="DY68" s="1392">
        <v>0</v>
      </c>
      <c r="DZ68" s="1392">
        <v>0</v>
      </c>
      <c r="EA68" s="1392">
        <v>0</v>
      </c>
      <c r="EB68" s="1392">
        <v>0</v>
      </c>
      <c r="EC68" s="1392">
        <v>0</v>
      </c>
      <c r="ED68" s="1392">
        <v>0</v>
      </c>
      <c r="EE68" s="1392">
        <v>0</v>
      </c>
      <c r="EF68" s="1392">
        <v>0</v>
      </c>
      <c r="EG68" s="1392">
        <v>0</v>
      </c>
      <c r="EH68" s="1392">
        <v>0</v>
      </c>
      <c r="EI68" s="1392">
        <v>0</v>
      </c>
      <c r="EJ68" s="1392">
        <v>0</v>
      </c>
      <c r="EK68" s="1392">
        <v>0</v>
      </c>
      <c r="EL68" s="1392">
        <v>0</v>
      </c>
      <c r="EM68" s="1392">
        <v>0</v>
      </c>
      <c r="EN68" s="1392">
        <v>0</v>
      </c>
      <c r="EO68" s="1392">
        <v>0</v>
      </c>
      <c r="EP68" s="1392">
        <v>0</v>
      </c>
      <c r="EQ68" s="1392">
        <v>0</v>
      </c>
      <c r="ER68" s="1393">
        <v>0</v>
      </c>
      <c r="ES68" s="377"/>
      <c r="ET68" s="316">
        <f t="shared" si="335"/>
        <v>1</v>
      </c>
      <c r="EU68" s="1392">
        <f t="shared" si="20"/>
        <v>1</v>
      </c>
      <c r="EV68" s="1392">
        <f t="shared" si="21"/>
        <v>1</v>
      </c>
      <c r="EW68" s="1392">
        <f t="shared" si="22"/>
        <v>1</v>
      </c>
      <c r="EX68" s="1392">
        <f t="shared" si="23"/>
        <v>1</v>
      </c>
      <c r="EY68" s="1392">
        <f t="shared" si="24"/>
        <v>1</v>
      </c>
      <c r="EZ68" s="1392">
        <f t="shared" si="25"/>
        <v>1</v>
      </c>
      <c r="FA68" s="1392">
        <f t="shared" si="26"/>
        <v>1</v>
      </c>
      <c r="FB68" s="1392">
        <f t="shared" si="27"/>
        <v>1</v>
      </c>
      <c r="FC68" s="1392">
        <f t="shared" si="28"/>
        <v>1</v>
      </c>
      <c r="FD68" s="1392">
        <f t="shared" si="29"/>
        <v>1</v>
      </c>
      <c r="FE68" s="1392">
        <f t="shared" si="30"/>
        <v>1</v>
      </c>
      <c r="FF68" s="1392">
        <f t="shared" si="31"/>
        <v>1</v>
      </c>
      <c r="FG68" s="1392">
        <f t="shared" si="32"/>
        <v>1</v>
      </c>
      <c r="FH68" s="1392">
        <f t="shared" si="33"/>
        <v>1</v>
      </c>
      <c r="FI68" s="1392">
        <f t="shared" si="34"/>
        <v>1</v>
      </c>
      <c r="FJ68" s="1392">
        <f t="shared" si="35"/>
        <v>1</v>
      </c>
      <c r="FK68" s="1392">
        <f t="shared" si="36"/>
        <v>1</v>
      </c>
      <c r="FL68" s="1392">
        <f t="shared" si="37"/>
        <v>1</v>
      </c>
      <c r="FM68" s="1392">
        <f t="shared" si="38"/>
        <v>1</v>
      </c>
      <c r="FN68" s="1392">
        <f t="shared" si="39"/>
        <v>1</v>
      </c>
      <c r="FO68" s="1392">
        <f t="shared" si="40"/>
        <v>1</v>
      </c>
      <c r="FP68" s="1392">
        <f t="shared" si="41"/>
        <v>1</v>
      </c>
      <c r="FQ68" s="1392">
        <f t="shared" si="42"/>
        <v>1</v>
      </c>
      <c r="FR68" s="1392">
        <f t="shared" si="43"/>
        <v>1</v>
      </c>
      <c r="FS68" s="1392">
        <f t="shared" si="44"/>
        <v>1</v>
      </c>
      <c r="FT68" s="1392">
        <f t="shared" si="45"/>
        <v>1</v>
      </c>
      <c r="FU68" s="1392">
        <f t="shared" si="46"/>
        <v>1</v>
      </c>
      <c r="FV68" s="1392">
        <f t="shared" si="47"/>
        <v>1</v>
      </c>
      <c r="FW68" s="1392">
        <f t="shared" si="48"/>
        <v>1</v>
      </c>
      <c r="FX68" s="1392">
        <f t="shared" si="49"/>
        <v>1</v>
      </c>
      <c r="FY68" s="1392">
        <f t="shared" si="50"/>
        <v>1</v>
      </c>
      <c r="FZ68" s="1392">
        <f t="shared" si="51"/>
        <v>1</v>
      </c>
      <c r="GA68" s="1392">
        <f t="shared" si="52"/>
        <v>1</v>
      </c>
      <c r="GB68" s="1392">
        <f t="shared" si="53"/>
        <v>1</v>
      </c>
      <c r="GC68" s="1392">
        <f t="shared" si="54"/>
        <v>1</v>
      </c>
      <c r="GD68" s="1392">
        <f t="shared" si="55"/>
        <v>1</v>
      </c>
      <c r="GE68" s="1392">
        <f t="shared" si="56"/>
        <v>1</v>
      </c>
      <c r="GF68" s="1392">
        <f t="shared" si="57"/>
        <v>1</v>
      </c>
      <c r="GG68" s="1392">
        <f t="shared" si="58"/>
        <v>1</v>
      </c>
      <c r="GH68" s="1392">
        <f t="shared" si="59"/>
        <v>1</v>
      </c>
      <c r="GI68" s="1392">
        <f t="shared" si="60"/>
        <v>1</v>
      </c>
      <c r="GJ68" s="1392">
        <f t="shared" si="61"/>
        <v>1</v>
      </c>
      <c r="GK68" s="1392">
        <f t="shared" si="62"/>
        <v>1</v>
      </c>
      <c r="GL68" s="1392">
        <f t="shared" si="63"/>
        <v>1</v>
      </c>
      <c r="GM68" s="1392">
        <f t="shared" si="64"/>
        <v>1</v>
      </c>
      <c r="GN68" s="1392">
        <f t="shared" si="65"/>
        <v>1</v>
      </c>
      <c r="GO68" s="1392">
        <f t="shared" si="66"/>
        <v>1</v>
      </c>
      <c r="GP68" s="1392">
        <f t="shared" si="67"/>
        <v>1</v>
      </c>
      <c r="GQ68" s="1392">
        <f t="shared" si="68"/>
        <v>1</v>
      </c>
      <c r="GR68" s="1392">
        <f t="shared" si="69"/>
        <v>1</v>
      </c>
      <c r="GS68" s="1392">
        <f t="shared" si="70"/>
        <v>1</v>
      </c>
      <c r="GT68" s="1392">
        <f t="shared" si="71"/>
        <v>1</v>
      </c>
      <c r="GU68" s="1392">
        <f t="shared" si="72"/>
        <v>1</v>
      </c>
      <c r="GV68" s="1392">
        <f t="shared" si="73"/>
        <v>1</v>
      </c>
      <c r="GW68" s="1392">
        <f t="shared" si="74"/>
        <v>1</v>
      </c>
      <c r="GX68" s="1392">
        <f t="shared" si="75"/>
        <v>1</v>
      </c>
      <c r="GY68" s="1392">
        <f t="shared" si="76"/>
        <v>1</v>
      </c>
      <c r="GZ68" s="1392">
        <f t="shared" si="77"/>
        <v>1</v>
      </c>
      <c r="HA68" s="1392">
        <f t="shared" si="78"/>
        <v>1</v>
      </c>
      <c r="HB68" s="1392">
        <f t="shared" si="79"/>
        <v>1</v>
      </c>
      <c r="HC68" s="1392">
        <f t="shared" si="80"/>
        <v>1</v>
      </c>
      <c r="HD68" s="1392">
        <f t="shared" si="81"/>
        <v>1</v>
      </c>
      <c r="HE68" s="1392">
        <f t="shared" si="82"/>
        <v>1</v>
      </c>
      <c r="HF68" s="1392">
        <f t="shared" si="83"/>
        <v>1</v>
      </c>
      <c r="HG68" s="1392">
        <f t="shared" si="84"/>
        <v>1</v>
      </c>
      <c r="HH68" s="1392">
        <f t="shared" si="85"/>
        <v>1</v>
      </c>
      <c r="HI68" s="1392">
        <f t="shared" si="86"/>
        <v>1</v>
      </c>
      <c r="HJ68" s="1392">
        <f t="shared" si="87"/>
        <v>1</v>
      </c>
      <c r="HK68" s="1392">
        <f t="shared" si="88"/>
        <v>1</v>
      </c>
      <c r="HL68" s="1392">
        <f t="shared" si="89"/>
        <v>1</v>
      </c>
      <c r="HM68" s="1392">
        <f t="shared" si="90"/>
        <v>1</v>
      </c>
      <c r="HN68" s="1392">
        <f t="shared" si="91"/>
        <v>1</v>
      </c>
      <c r="HO68" s="1392">
        <f t="shared" si="92"/>
        <v>1</v>
      </c>
      <c r="HP68" s="1392">
        <f t="shared" si="93"/>
        <v>1</v>
      </c>
      <c r="HQ68" s="1392">
        <f t="shared" si="94"/>
        <v>1</v>
      </c>
      <c r="HR68" s="1392">
        <f t="shared" si="95"/>
        <v>1</v>
      </c>
      <c r="HS68" s="1392">
        <f t="shared" si="96"/>
        <v>1</v>
      </c>
      <c r="HT68" s="1392">
        <f t="shared" si="97"/>
        <v>1</v>
      </c>
      <c r="HU68" s="1392">
        <f t="shared" si="98"/>
        <v>1</v>
      </c>
      <c r="HV68" s="1392">
        <f t="shared" si="99"/>
        <v>1</v>
      </c>
      <c r="HW68" s="1392">
        <f t="shared" si="100"/>
        <v>1</v>
      </c>
      <c r="HX68" s="1392">
        <f t="shared" si="101"/>
        <v>1</v>
      </c>
      <c r="HY68" s="1392">
        <f t="shared" si="102"/>
        <v>1</v>
      </c>
      <c r="HZ68" s="1392">
        <f t="shared" si="103"/>
        <v>1</v>
      </c>
      <c r="IA68" s="1392">
        <f t="shared" si="104"/>
        <v>1</v>
      </c>
      <c r="IB68" s="1392">
        <f t="shared" si="105"/>
        <v>1</v>
      </c>
      <c r="IC68" s="1392">
        <f t="shared" si="106"/>
        <v>1</v>
      </c>
      <c r="ID68" s="1392">
        <f t="shared" si="107"/>
        <v>1</v>
      </c>
      <c r="IE68" s="1392">
        <f t="shared" si="108"/>
        <v>1</v>
      </c>
      <c r="IF68" s="1392">
        <f t="shared" si="109"/>
        <v>1</v>
      </c>
      <c r="IG68" s="1392">
        <f t="shared" si="110"/>
        <v>1</v>
      </c>
      <c r="IH68" s="1392">
        <f t="shared" si="111"/>
        <v>1</v>
      </c>
      <c r="II68" s="1392">
        <f t="shared" si="112"/>
        <v>1</v>
      </c>
      <c r="IJ68" s="1392">
        <f t="shared" si="113"/>
        <v>1</v>
      </c>
      <c r="IK68" s="1392">
        <f t="shared" si="114"/>
        <v>1</v>
      </c>
      <c r="IL68" s="1392">
        <f t="shared" si="115"/>
        <v>1</v>
      </c>
      <c r="IM68" s="1392">
        <f t="shared" si="116"/>
        <v>1</v>
      </c>
      <c r="IN68" s="1392">
        <f t="shared" si="117"/>
        <v>1</v>
      </c>
      <c r="IO68" s="1392">
        <f t="shared" si="118"/>
        <v>1</v>
      </c>
      <c r="IP68" s="1392">
        <f t="shared" si="119"/>
        <v>1</v>
      </c>
      <c r="IQ68" s="1392">
        <f t="shared" si="120"/>
        <v>1</v>
      </c>
      <c r="IR68" s="1392">
        <f t="shared" si="121"/>
        <v>1</v>
      </c>
      <c r="IS68" s="1392">
        <f t="shared" si="122"/>
        <v>1</v>
      </c>
      <c r="IT68" s="1392">
        <f t="shared" si="123"/>
        <v>1</v>
      </c>
      <c r="IU68" s="1392">
        <f t="shared" si="124"/>
        <v>1</v>
      </c>
      <c r="IV68" s="1392">
        <f t="shared" si="125"/>
        <v>1</v>
      </c>
      <c r="IW68" s="1392">
        <f t="shared" si="126"/>
        <v>1</v>
      </c>
      <c r="IX68" s="1392">
        <f t="shared" si="127"/>
        <v>1</v>
      </c>
      <c r="IY68" s="1392">
        <f t="shared" si="128"/>
        <v>1</v>
      </c>
      <c r="IZ68" s="1392">
        <f t="shared" si="129"/>
        <v>1</v>
      </c>
      <c r="JA68" s="1392">
        <f t="shared" si="130"/>
        <v>1</v>
      </c>
      <c r="JB68" s="1392">
        <f t="shared" si="131"/>
        <v>1</v>
      </c>
      <c r="JC68" s="1392">
        <f t="shared" si="132"/>
        <v>1</v>
      </c>
      <c r="JD68" s="1392">
        <f t="shared" si="133"/>
        <v>1</v>
      </c>
      <c r="JE68" s="1392">
        <f t="shared" si="134"/>
        <v>1</v>
      </c>
      <c r="JF68" s="1392">
        <f t="shared" si="135"/>
        <v>1</v>
      </c>
      <c r="JG68" s="1392">
        <f t="shared" si="136"/>
        <v>1</v>
      </c>
      <c r="JH68" s="1392">
        <f t="shared" si="137"/>
        <v>1</v>
      </c>
      <c r="JI68" s="1392">
        <f t="shared" si="138"/>
        <v>1</v>
      </c>
      <c r="JJ68" s="1392">
        <f t="shared" si="139"/>
        <v>1</v>
      </c>
      <c r="JK68" s="1392">
        <f t="shared" si="140"/>
        <v>1</v>
      </c>
      <c r="JL68" s="1392">
        <f t="shared" si="141"/>
        <v>1</v>
      </c>
      <c r="JM68" s="1392">
        <f t="shared" si="142"/>
        <v>1</v>
      </c>
      <c r="JN68" s="1392">
        <f t="shared" si="143"/>
        <v>1</v>
      </c>
      <c r="JO68" s="1392">
        <f t="shared" si="144"/>
        <v>1</v>
      </c>
      <c r="JP68" s="1392">
        <f t="shared" si="145"/>
        <v>1</v>
      </c>
      <c r="JQ68" s="1392">
        <f t="shared" si="146"/>
        <v>1</v>
      </c>
      <c r="JR68" s="1392">
        <f t="shared" si="147"/>
        <v>1</v>
      </c>
      <c r="JS68" s="1392">
        <f t="shared" si="148"/>
        <v>1</v>
      </c>
      <c r="JT68" s="1392">
        <f t="shared" si="149"/>
        <v>1</v>
      </c>
      <c r="JU68" s="1392">
        <f t="shared" si="150"/>
        <v>1</v>
      </c>
      <c r="JV68" s="1392">
        <f t="shared" si="151"/>
        <v>1</v>
      </c>
      <c r="JW68" s="1392">
        <f t="shared" si="152"/>
        <v>1</v>
      </c>
      <c r="JX68" s="1392">
        <f t="shared" si="153"/>
        <v>1</v>
      </c>
      <c r="JY68" s="1392">
        <f t="shared" si="154"/>
        <v>1</v>
      </c>
      <c r="JZ68" s="1392">
        <f t="shared" si="155"/>
        <v>1</v>
      </c>
      <c r="KA68" s="1392">
        <f t="shared" si="156"/>
        <v>1</v>
      </c>
      <c r="KB68" s="1392">
        <f t="shared" si="157"/>
        <v>1</v>
      </c>
      <c r="KC68" s="1392">
        <f t="shared" si="158"/>
        <v>1</v>
      </c>
      <c r="KD68" s="1392">
        <f t="shared" si="159"/>
        <v>1</v>
      </c>
      <c r="KE68" s="1392">
        <f t="shared" si="160"/>
        <v>1</v>
      </c>
      <c r="KF68" s="1392">
        <f t="shared" si="161"/>
        <v>1</v>
      </c>
      <c r="KG68" s="1399">
        <f t="shared" si="162"/>
        <v>1</v>
      </c>
      <c r="KH68" s="1406">
        <f t="shared" si="163"/>
        <v>144</v>
      </c>
      <c r="KI68" s="377"/>
      <c r="KJ68" s="1444">
        <f t="shared" si="164"/>
        <v>19.879253198304003</v>
      </c>
      <c r="KK68" s="49">
        <f t="shared" si="165"/>
        <v>0</v>
      </c>
      <c r="KL68" s="377"/>
      <c r="KM68" s="908">
        <f t="shared" si="166"/>
        <v>6.9444444444444441E-3</v>
      </c>
      <c r="KN68" s="1411">
        <f t="shared" si="167"/>
        <v>6.9444444444444441E-3</v>
      </c>
      <c r="KO68" s="1411">
        <f t="shared" si="168"/>
        <v>6.9444444444444441E-3</v>
      </c>
      <c r="KP68" s="1411">
        <f t="shared" si="169"/>
        <v>6.9444444444444441E-3</v>
      </c>
      <c r="KQ68" s="1411">
        <f t="shared" si="170"/>
        <v>6.9444444444444441E-3</v>
      </c>
      <c r="KR68" s="1411">
        <f t="shared" si="171"/>
        <v>6.9444444444444441E-3</v>
      </c>
      <c r="KS68" s="1411">
        <f t="shared" si="172"/>
        <v>6.9444444444444441E-3</v>
      </c>
      <c r="KT68" s="1411">
        <f t="shared" si="173"/>
        <v>6.9444444444444441E-3</v>
      </c>
      <c r="KU68" s="1411">
        <f t="shared" si="174"/>
        <v>6.9444444444444441E-3</v>
      </c>
      <c r="KV68" s="1411">
        <f t="shared" si="175"/>
        <v>6.9444444444444441E-3</v>
      </c>
      <c r="KW68" s="1411">
        <f t="shared" si="176"/>
        <v>6.9444444444444441E-3</v>
      </c>
      <c r="KX68" s="1411">
        <f t="shared" si="177"/>
        <v>6.9444444444444441E-3</v>
      </c>
      <c r="KY68" s="1411">
        <f t="shared" si="178"/>
        <v>6.9444444444444441E-3</v>
      </c>
      <c r="KZ68" s="1411">
        <f t="shared" si="179"/>
        <v>6.9444444444444441E-3</v>
      </c>
      <c r="LA68" s="1411">
        <f t="shared" si="180"/>
        <v>6.9444444444444441E-3</v>
      </c>
      <c r="LB68" s="1411">
        <f t="shared" si="181"/>
        <v>6.9444444444444441E-3</v>
      </c>
      <c r="LC68" s="1411">
        <f t="shared" si="182"/>
        <v>6.9444444444444441E-3</v>
      </c>
      <c r="LD68" s="1411">
        <f t="shared" si="183"/>
        <v>6.9444444444444441E-3</v>
      </c>
      <c r="LE68" s="1411">
        <f t="shared" si="184"/>
        <v>6.9444444444444441E-3</v>
      </c>
      <c r="LF68" s="1411">
        <f t="shared" si="185"/>
        <v>6.9444444444444441E-3</v>
      </c>
      <c r="LG68" s="1411">
        <f t="shared" si="186"/>
        <v>6.9444444444444441E-3</v>
      </c>
      <c r="LH68" s="1411">
        <f t="shared" si="187"/>
        <v>6.9444444444444441E-3</v>
      </c>
      <c r="LI68" s="1411">
        <f t="shared" si="188"/>
        <v>6.9444444444444441E-3</v>
      </c>
      <c r="LJ68" s="1411">
        <f t="shared" si="189"/>
        <v>6.9444444444444441E-3</v>
      </c>
      <c r="LK68" s="1411">
        <f t="shared" si="190"/>
        <v>6.9444444444444441E-3</v>
      </c>
      <c r="LL68" s="1411">
        <f t="shared" si="191"/>
        <v>6.9444444444444441E-3</v>
      </c>
      <c r="LM68" s="1411">
        <f t="shared" si="192"/>
        <v>6.9444444444444441E-3</v>
      </c>
      <c r="LN68" s="1411">
        <f t="shared" si="193"/>
        <v>6.9444444444444441E-3</v>
      </c>
      <c r="LO68" s="1411">
        <f t="shared" si="194"/>
        <v>6.9444444444444441E-3</v>
      </c>
      <c r="LP68" s="1411">
        <f t="shared" si="195"/>
        <v>6.9444444444444441E-3</v>
      </c>
      <c r="LQ68" s="1411">
        <f t="shared" si="196"/>
        <v>6.9444444444444441E-3</v>
      </c>
      <c r="LR68" s="1411">
        <f t="shared" si="197"/>
        <v>6.9444444444444441E-3</v>
      </c>
      <c r="LS68" s="1411">
        <f t="shared" si="198"/>
        <v>6.9444444444444441E-3</v>
      </c>
      <c r="LT68" s="1411">
        <f t="shared" si="199"/>
        <v>6.9444444444444441E-3</v>
      </c>
      <c r="LU68" s="1411">
        <f t="shared" si="200"/>
        <v>6.9444444444444441E-3</v>
      </c>
      <c r="LV68" s="1411">
        <f t="shared" si="201"/>
        <v>6.9444444444444441E-3</v>
      </c>
      <c r="LW68" s="1411">
        <f t="shared" si="202"/>
        <v>6.9444444444444441E-3</v>
      </c>
      <c r="LX68" s="1411">
        <f t="shared" si="203"/>
        <v>6.9444444444444441E-3</v>
      </c>
      <c r="LY68" s="1411">
        <f t="shared" si="204"/>
        <v>6.9444444444444441E-3</v>
      </c>
      <c r="LZ68" s="1411">
        <f t="shared" si="205"/>
        <v>6.9444444444444441E-3</v>
      </c>
      <c r="MA68" s="1411">
        <f t="shared" si="206"/>
        <v>6.9444444444444441E-3</v>
      </c>
      <c r="MB68" s="1411">
        <f t="shared" si="207"/>
        <v>6.9444444444444441E-3</v>
      </c>
      <c r="MC68" s="1411">
        <f t="shared" si="208"/>
        <v>6.9444444444444441E-3</v>
      </c>
      <c r="MD68" s="1411">
        <f t="shared" si="209"/>
        <v>6.9444444444444441E-3</v>
      </c>
      <c r="ME68" s="1411">
        <f t="shared" si="210"/>
        <v>6.9444444444444441E-3</v>
      </c>
      <c r="MF68" s="1411">
        <f t="shared" si="211"/>
        <v>6.9444444444444441E-3</v>
      </c>
      <c r="MG68" s="1411">
        <f t="shared" si="212"/>
        <v>6.9444444444444441E-3</v>
      </c>
      <c r="MH68" s="1411">
        <f t="shared" si="213"/>
        <v>6.9444444444444441E-3</v>
      </c>
      <c r="MI68" s="1411">
        <f t="shared" si="214"/>
        <v>6.9444444444444441E-3</v>
      </c>
      <c r="MJ68" s="1411">
        <f t="shared" si="215"/>
        <v>6.9444444444444441E-3</v>
      </c>
      <c r="MK68" s="1411">
        <f t="shared" si="216"/>
        <v>6.9444444444444441E-3</v>
      </c>
      <c r="ML68" s="1411">
        <f t="shared" si="217"/>
        <v>6.9444444444444441E-3</v>
      </c>
      <c r="MM68" s="1411">
        <f t="shared" si="218"/>
        <v>6.9444444444444441E-3</v>
      </c>
      <c r="MN68" s="1411">
        <f t="shared" si="219"/>
        <v>6.9444444444444441E-3</v>
      </c>
      <c r="MO68" s="1411">
        <f t="shared" si="220"/>
        <v>6.9444444444444441E-3</v>
      </c>
      <c r="MP68" s="1411">
        <f t="shared" si="221"/>
        <v>6.9444444444444441E-3</v>
      </c>
      <c r="MQ68" s="1411">
        <f t="shared" si="222"/>
        <v>6.9444444444444441E-3</v>
      </c>
      <c r="MR68" s="1411">
        <f t="shared" si="223"/>
        <v>6.9444444444444441E-3</v>
      </c>
      <c r="MS68" s="1411">
        <f t="shared" si="224"/>
        <v>6.9444444444444441E-3</v>
      </c>
      <c r="MT68" s="1411">
        <f t="shared" si="225"/>
        <v>6.9444444444444441E-3</v>
      </c>
      <c r="MU68" s="1411">
        <f t="shared" si="226"/>
        <v>6.9444444444444441E-3</v>
      </c>
      <c r="MV68" s="1411">
        <f t="shared" si="227"/>
        <v>6.9444444444444441E-3</v>
      </c>
      <c r="MW68" s="1411">
        <f t="shared" si="228"/>
        <v>6.9444444444444441E-3</v>
      </c>
      <c r="MX68" s="1411">
        <f t="shared" si="229"/>
        <v>6.9444444444444441E-3</v>
      </c>
      <c r="MY68" s="1411">
        <f t="shared" si="230"/>
        <v>6.9444444444444441E-3</v>
      </c>
      <c r="MZ68" s="1411">
        <f t="shared" si="231"/>
        <v>6.9444444444444441E-3</v>
      </c>
      <c r="NA68" s="1411">
        <f t="shared" si="232"/>
        <v>6.9444444444444441E-3</v>
      </c>
      <c r="NB68" s="1411">
        <f t="shared" si="233"/>
        <v>6.9444444444444441E-3</v>
      </c>
      <c r="NC68" s="1411">
        <f t="shared" si="234"/>
        <v>6.9444444444444441E-3</v>
      </c>
      <c r="ND68" s="1411">
        <f t="shared" si="235"/>
        <v>6.9444444444444441E-3</v>
      </c>
      <c r="NE68" s="1411">
        <f t="shared" si="236"/>
        <v>6.9444444444444441E-3</v>
      </c>
      <c r="NF68" s="1411">
        <f t="shared" si="237"/>
        <v>6.9444444444444441E-3</v>
      </c>
      <c r="NG68" s="1411">
        <f t="shared" si="238"/>
        <v>6.9444444444444441E-3</v>
      </c>
      <c r="NH68" s="1411">
        <f t="shared" si="239"/>
        <v>6.9444444444444441E-3</v>
      </c>
      <c r="NI68" s="1411">
        <f t="shared" si="240"/>
        <v>6.9444444444444441E-3</v>
      </c>
      <c r="NJ68" s="1411">
        <f t="shared" si="241"/>
        <v>6.9444444444444441E-3</v>
      </c>
      <c r="NK68" s="1411">
        <f t="shared" si="242"/>
        <v>6.9444444444444441E-3</v>
      </c>
      <c r="NL68" s="1411">
        <f t="shared" si="243"/>
        <v>6.9444444444444441E-3</v>
      </c>
      <c r="NM68" s="1411">
        <f t="shared" si="244"/>
        <v>6.9444444444444441E-3</v>
      </c>
      <c r="NN68" s="1411">
        <f t="shared" si="245"/>
        <v>6.9444444444444441E-3</v>
      </c>
      <c r="NO68" s="1411">
        <f t="shared" si="246"/>
        <v>6.9444444444444441E-3</v>
      </c>
      <c r="NP68" s="1411">
        <f t="shared" si="247"/>
        <v>6.9444444444444441E-3</v>
      </c>
      <c r="NQ68" s="1411">
        <f t="shared" si="248"/>
        <v>6.9444444444444441E-3</v>
      </c>
      <c r="NR68" s="1411">
        <f t="shared" si="249"/>
        <v>6.9444444444444441E-3</v>
      </c>
      <c r="NS68" s="1411">
        <f t="shared" si="250"/>
        <v>6.9444444444444441E-3</v>
      </c>
      <c r="NT68" s="1411">
        <f t="shared" si="251"/>
        <v>6.9444444444444441E-3</v>
      </c>
      <c r="NU68" s="1411">
        <f t="shared" si="252"/>
        <v>6.9444444444444441E-3</v>
      </c>
      <c r="NV68" s="1411">
        <f t="shared" si="253"/>
        <v>6.9444444444444441E-3</v>
      </c>
      <c r="NW68" s="1411">
        <f t="shared" si="254"/>
        <v>6.9444444444444441E-3</v>
      </c>
      <c r="NX68" s="1411">
        <f t="shared" si="255"/>
        <v>6.9444444444444441E-3</v>
      </c>
      <c r="NY68" s="1411">
        <f t="shared" si="256"/>
        <v>6.9444444444444441E-3</v>
      </c>
      <c r="NZ68" s="1411">
        <f t="shared" si="257"/>
        <v>6.9444444444444441E-3</v>
      </c>
      <c r="OA68" s="1411">
        <f t="shared" si="258"/>
        <v>6.9444444444444441E-3</v>
      </c>
      <c r="OB68" s="1411">
        <f t="shared" si="259"/>
        <v>6.9444444444444441E-3</v>
      </c>
      <c r="OC68" s="1411">
        <f t="shared" si="260"/>
        <v>6.9444444444444441E-3</v>
      </c>
      <c r="OD68" s="1411">
        <f t="shared" si="261"/>
        <v>6.9444444444444441E-3</v>
      </c>
      <c r="OE68" s="1411">
        <f t="shared" si="262"/>
        <v>6.9444444444444441E-3</v>
      </c>
      <c r="OF68" s="1411">
        <f t="shared" si="263"/>
        <v>6.9444444444444441E-3</v>
      </c>
      <c r="OG68" s="1411">
        <f t="shared" si="264"/>
        <v>6.9444444444444441E-3</v>
      </c>
      <c r="OH68" s="1411">
        <f t="shared" si="265"/>
        <v>6.9444444444444441E-3</v>
      </c>
      <c r="OI68" s="1411">
        <f t="shared" si="266"/>
        <v>6.9444444444444441E-3</v>
      </c>
      <c r="OJ68" s="1411">
        <f t="shared" si="267"/>
        <v>6.9444444444444441E-3</v>
      </c>
      <c r="OK68" s="1411">
        <f t="shared" si="268"/>
        <v>6.9444444444444441E-3</v>
      </c>
      <c r="OL68" s="1411">
        <f t="shared" si="269"/>
        <v>6.9444444444444441E-3</v>
      </c>
      <c r="OM68" s="1411">
        <f t="shared" si="270"/>
        <v>6.9444444444444441E-3</v>
      </c>
      <c r="ON68" s="1411">
        <f t="shared" si="271"/>
        <v>6.9444444444444441E-3</v>
      </c>
      <c r="OO68" s="1411">
        <f t="shared" si="272"/>
        <v>6.9444444444444441E-3</v>
      </c>
      <c r="OP68" s="1411">
        <f t="shared" si="273"/>
        <v>6.9444444444444441E-3</v>
      </c>
      <c r="OQ68" s="1411">
        <f t="shared" si="274"/>
        <v>6.9444444444444441E-3</v>
      </c>
      <c r="OR68" s="1411">
        <f t="shared" si="275"/>
        <v>6.9444444444444441E-3</v>
      </c>
      <c r="OS68" s="1411">
        <f t="shared" si="276"/>
        <v>6.9444444444444441E-3</v>
      </c>
      <c r="OT68" s="1411">
        <f t="shared" si="277"/>
        <v>6.9444444444444441E-3</v>
      </c>
      <c r="OU68" s="1411">
        <f t="shared" si="278"/>
        <v>6.9444444444444441E-3</v>
      </c>
      <c r="OV68" s="1411">
        <f t="shared" si="279"/>
        <v>6.9444444444444441E-3</v>
      </c>
      <c r="OW68" s="1411">
        <f t="shared" si="280"/>
        <v>6.9444444444444441E-3</v>
      </c>
      <c r="OX68" s="1411">
        <f t="shared" si="281"/>
        <v>6.9444444444444441E-3</v>
      </c>
      <c r="OY68" s="1411">
        <f t="shared" si="282"/>
        <v>6.9444444444444441E-3</v>
      </c>
      <c r="OZ68" s="1411">
        <f t="shared" si="283"/>
        <v>6.9444444444444441E-3</v>
      </c>
      <c r="PA68" s="1411">
        <f t="shared" si="284"/>
        <v>6.9444444444444441E-3</v>
      </c>
      <c r="PB68" s="1411">
        <f t="shared" si="285"/>
        <v>6.9444444444444441E-3</v>
      </c>
      <c r="PC68" s="1411">
        <f t="shared" si="286"/>
        <v>6.9444444444444441E-3</v>
      </c>
      <c r="PD68" s="1411">
        <f t="shared" si="287"/>
        <v>6.9444444444444441E-3</v>
      </c>
      <c r="PE68" s="1411">
        <f t="shared" si="288"/>
        <v>6.9444444444444441E-3</v>
      </c>
      <c r="PF68" s="1411">
        <f t="shared" si="289"/>
        <v>6.9444444444444441E-3</v>
      </c>
      <c r="PG68" s="1411">
        <f t="shared" si="290"/>
        <v>6.9444444444444441E-3</v>
      </c>
      <c r="PH68" s="1411">
        <f t="shared" si="291"/>
        <v>6.9444444444444441E-3</v>
      </c>
      <c r="PI68" s="1411">
        <f t="shared" si="292"/>
        <v>6.9444444444444441E-3</v>
      </c>
      <c r="PJ68" s="1411">
        <f t="shared" si="293"/>
        <v>6.9444444444444441E-3</v>
      </c>
      <c r="PK68" s="1411">
        <f t="shared" si="294"/>
        <v>6.9444444444444441E-3</v>
      </c>
      <c r="PL68" s="1411">
        <f t="shared" si="295"/>
        <v>6.9444444444444441E-3</v>
      </c>
      <c r="PM68" s="1411">
        <f t="shared" si="296"/>
        <v>6.9444444444444441E-3</v>
      </c>
      <c r="PN68" s="1411">
        <f t="shared" si="297"/>
        <v>6.9444444444444441E-3</v>
      </c>
      <c r="PO68" s="1411">
        <f t="shared" si="298"/>
        <v>6.9444444444444441E-3</v>
      </c>
      <c r="PP68" s="1411">
        <f t="shared" si="299"/>
        <v>6.9444444444444441E-3</v>
      </c>
      <c r="PQ68" s="1411">
        <f t="shared" si="300"/>
        <v>6.9444444444444441E-3</v>
      </c>
      <c r="PR68" s="1411">
        <f t="shared" si="301"/>
        <v>6.9444444444444441E-3</v>
      </c>
      <c r="PS68" s="1411">
        <f t="shared" si="302"/>
        <v>6.9444444444444441E-3</v>
      </c>
      <c r="PT68" s="1411">
        <f t="shared" si="303"/>
        <v>6.9444444444444441E-3</v>
      </c>
      <c r="PU68" s="1411">
        <f t="shared" si="304"/>
        <v>6.9444444444444441E-3</v>
      </c>
      <c r="PV68" s="1411">
        <f t="shared" si="305"/>
        <v>6.9444444444444441E-3</v>
      </c>
      <c r="PW68" s="1411">
        <f t="shared" si="306"/>
        <v>6.9444444444444441E-3</v>
      </c>
      <c r="PX68" s="1411">
        <f t="shared" si="307"/>
        <v>6.9444444444444441E-3</v>
      </c>
      <c r="PY68" s="1411">
        <f t="shared" si="308"/>
        <v>6.9444444444444441E-3</v>
      </c>
      <c r="PZ68" s="1412">
        <f t="shared" si="309"/>
        <v>6.9444444444444441E-3</v>
      </c>
      <c r="QB68" s="33" t="s">
        <v>1072</v>
      </c>
      <c r="QC68" s="1432">
        <f t="shared" si="336"/>
        <v>0.33333333333333309</v>
      </c>
      <c r="QD68" s="744">
        <f t="shared" si="337"/>
        <v>0.33333333333333309</v>
      </c>
      <c r="QE68" s="1068">
        <f t="shared" si="338"/>
        <v>0.33333333333333309</v>
      </c>
      <c r="QF68" s="744">
        <f t="shared" si="339"/>
        <v>0.33333333333333309</v>
      </c>
      <c r="QG68" s="744">
        <f t="shared" si="340"/>
        <v>0.33333333333333309</v>
      </c>
      <c r="QH68" s="1068">
        <f t="shared" si="341"/>
        <v>0.33333333333333309</v>
      </c>
      <c r="QI68" s="744">
        <f t="shared" si="342"/>
        <v>0.49999999999999917</v>
      </c>
      <c r="QJ68" s="1068">
        <f t="shared" si="343"/>
        <v>0.49999999999999917</v>
      </c>
      <c r="QK68" s="744">
        <f t="shared" si="344"/>
        <v>0.49999999999999917</v>
      </c>
      <c r="QL68" s="1068">
        <f t="shared" si="345"/>
        <v>0.49999999999999917</v>
      </c>
      <c r="QM68" s="744">
        <f t="shared" si="346"/>
        <v>0.49999999999999917</v>
      </c>
      <c r="QN68" s="1068">
        <f t="shared" si="347"/>
        <v>0.49999999999999917</v>
      </c>
      <c r="QO68" s="744">
        <f t="shared" si="348"/>
        <v>0.49999999999999917</v>
      </c>
      <c r="QP68" s="1068">
        <f t="shared" si="349"/>
        <v>0.49999999999999917</v>
      </c>
      <c r="QR68" s="1432">
        <f t="shared" si="467"/>
        <v>0.11111111111111115</v>
      </c>
      <c r="QS68" s="744">
        <f t="shared" si="468"/>
        <v>0.11111111111111115</v>
      </c>
      <c r="QT68" s="744">
        <f t="shared" si="469"/>
        <v>0.11111111111111115</v>
      </c>
      <c r="QU68" s="743">
        <f t="shared" si="470"/>
        <v>0.11111111111111115</v>
      </c>
      <c r="QV68" s="744">
        <f t="shared" si="471"/>
        <v>0.11111111111111115</v>
      </c>
      <c r="QW68" s="744">
        <f t="shared" si="472"/>
        <v>0.11111111111111115</v>
      </c>
      <c r="QX68" s="743">
        <f t="shared" si="473"/>
        <v>0.11111111111111115</v>
      </c>
      <c r="QY68" s="744">
        <f t="shared" si="474"/>
        <v>0.11111111111111115</v>
      </c>
      <c r="QZ68" s="745">
        <f t="shared" si="475"/>
        <v>0.11111111111111115</v>
      </c>
      <c r="RC68" s="744">
        <f t="shared" si="359"/>
        <v>5.5555555555555566E-2</v>
      </c>
      <c r="RD68" s="744">
        <f t="shared" si="360"/>
        <v>5.5555555555555566E-2</v>
      </c>
      <c r="RE68" s="744">
        <f t="shared" si="361"/>
        <v>5.5555555555555566E-2</v>
      </c>
      <c r="RF68" s="744">
        <f t="shared" si="362"/>
        <v>5.5555555555555566E-2</v>
      </c>
      <c r="RG68" s="744">
        <f t="shared" si="363"/>
        <v>5.5555555555555566E-2</v>
      </c>
      <c r="RH68" s="744">
        <f t="shared" si="364"/>
        <v>5.5555555555555566E-2</v>
      </c>
      <c r="RI68" s="744">
        <f t="shared" si="365"/>
        <v>5.5555555555555566E-2</v>
      </c>
      <c r="RJ68" s="744">
        <f t="shared" si="366"/>
        <v>5.5555555555555566E-2</v>
      </c>
      <c r="RK68" s="744">
        <f t="shared" si="367"/>
        <v>5.5555555555555566E-2</v>
      </c>
      <c r="RL68" s="1251"/>
      <c r="RM68" s="744">
        <f t="shared" si="368"/>
        <v>5.5555555555555566E-2</v>
      </c>
      <c r="RN68" s="744">
        <f t="shared" si="369"/>
        <v>5.5555555555555566E-2</v>
      </c>
      <c r="RO68" s="744">
        <f t="shared" si="370"/>
        <v>5.5555555555555566E-2</v>
      </c>
      <c r="RP68" s="744">
        <f t="shared" si="371"/>
        <v>5.5555555555555566E-2</v>
      </c>
      <c r="RQ68" s="744">
        <f t="shared" si="372"/>
        <v>5.5555555555555566E-2</v>
      </c>
      <c r="RR68" s="744">
        <f t="shared" si="373"/>
        <v>5.5555555555555566E-2</v>
      </c>
      <c r="RS68" s="744">
        <f t="shared" si="374"/>
        <v>5.5555555555555566E-2</v>
      </c>
      <c r="RT68" s="744">
        <f t="shared" si="375"/>
        <v>5.5555555555555566E-2</v>
      </c>
      <c r="RU68" s="744">
        <f t="shared" si="376"/>
        <v>5.5555555555555566E-2</v>
      </c>
      <c r="RV68" s="744"/>
      <c r="RW68" s="744">
        <f t="shared" si="377"/>
        <v>5.5555555555555566E-2</v>
      </c>
      <c r="RX68" s="744">
        <f t="shared" si="378"/>
        <v>5.5555555555555566E-2</v>
      </c>
      <c r="RY68" s="744">
        <f t="shared" si="379"/>
        <v>5.5555555555555566E-2</v>
      </c>
      <c r="RZ68" s="744">
        <f t="shared" si="380"/>
        <v>5.5555555555555566E-2</v>
      </c>
      <c r="SA68" s="744">
        <f t="shared" si="381"/>
        <v>5.5555555555555566E-2</v>
      </c>
      <c r="SB68" s="744">
        <f t="shared" si="382"/>
        <v>5.5555555555555566E-2</v>
      </c>
      <c r="SC68" s="744">
        <f t="shared" si="383"/>
        <v>5.5555555555555566E-2</v>
      </c>
      <c r="SD68" s="744">
        <f t="shared" si="384"/>
        <v>5.5555555555555566E-2</v>
      </c>
      <c r="SE68" s="744">
        <f t="shared" si="385"/>
        <v>5.5555555555555566E-2</v>
      </c>
      <c r="SF68" s="744"/>
      <c r="SG68" s="744">
        <f t="shared" si="386"/>
        <v>5.5555555555555566E-2</v>
      </c>
      <c r="SH68" s="744">
        <f t="shared" si="387"/>
        <v>5.5555555555555566E-2</v>
      </c>
      <c r="SI68" s="744">
        <f t="shared" si="388"/>
        <v>5.5555555555555566E-2</v>
      </c>
      <c r="SJ68" s="744">
        <f t="shared" si="389"/>
        <v>5.5555555555555566E-2</v>
      </c>
      <c r="SK68" s="744">
        <f t="shared" si="390"/>
        <v>5.5555555555555566E-2</v>
      </c>
      <c r="SL68" s="744">
        <f t="shared" si="391"/>
        <v>5.5555555555555566E-2</v>
      </c>
      <c r="SM68" s="744">
        <f t="shared" si="392"/>
        <v>5.5555555555555566E-2</v>
      </c>
      <c r="SN68" s="744">
        <f t="shared" si="393"/>
        <v>5.5555555555555566E-2</v>
      </c>
      <c r="SO68" s="744">
        <f t="shared" si="394"/>
        <v>5.5555555555555566E-2</v>
      </c>
      <c r="SP68" s="100"/>
      <c r="SQ68" s="114"/>
      <c r="SR68" s="806">
        <f t="shared" si="431"/>
        <v>0.49999999999999994</v>
      </c>
      <c r="SS68" s="806">
        <f t="shared" si="432"/>
        <v>0.49999999999999994</v>
      </c>
      <c r="ST68" s="806">
        <f t="shared" si="433"/>
        <v>0.49999999999999994</v>
      </c>
      <c r="SU68" s="806">
        <f t="shared" si="434"/>
        <v>0.49999999999999994</v>
      </c>
      <c r="SV68" s="806">
        <f t="shared" si="435"/>
        <v>0.49999999999999994</v>
      </c>
      <c r="SW68" s="806">
        <f t="shared" si="436"/>
        <v>0.49999999999999994</v>
      </c>
      <c r="SX68" s="806">
        <f t="shared" si="437"/>
        <v>0.49999999999999994</v>
      </c>
      <c r="SY68" s="806">
        <f t="shared" si="438"/>
        <v>0.49999999999999994</v>
      </c>
      <c r="SZ68" s="806">
        <f t="shared" si="439"/>
        <v>0.49999999999999994</v>
      </c>
      <c r="TA68" s="806"/>
      <c r="TB68" s="806">
        <f t="shared" si="440"/>
        <v>0.49999999999999994</v>
      </c>
      <c r="TC68" s="806">
        <f t="shared" si="441"/>
        <v>0.49999999999999994</v>
      </c>
      <c r="TD68" s="806">
        <f t="shared" si="442"/>
        <v>0.49999999999999994</v>
      </c>
      <c r="TE68" s="806">
        <f t="shared" si="443"/>
        <v>0.49999999999999994</v>
      </c>
      <c r="TF68" s="806">
        <f t="shared" si="444"/>
        <v>0.49999999999999994</v>
      </c>
      <c r="TG68" s="806">
        <f t="shared" si="445"/>
        <v>0.49999999999999994</v>
      </c>
      <c r="TH68" s="806">
        <f t="shared" si="446"/>
        <v>0.49999999999999994</v>
      </c>
      <c r="TI68" s="806">
        <f t="shared" si="447"/>
        <v>0.49999999999999994</v>
      </c>
      <c r="TJ68" s="806">
        <f t="shared" si="448"/>
        <v>0.49999999999999994</v>
      </c>
      <c r="TK68" s="806"/>
      <c r="TL68" s="806">
        <f t="shared" si="449"/>
        <v>0.49999999999999994</v>
      </c>
      <c r="TM68" s="806">
        <f t="shared" si="450"/>
        <v>0.49999999999999994</v>
      </c>
      <c r="TN68" s="806">
        <f t="shared" si="451"/>
        <v>0.49999999999999994</v>
      </c>
      <c r="TO68" s="806">
        <f t="shared" si="452"/>
        <v>0.49999999999999994</v>
      </c>
      <c r="TP68" s="806">
        <f t="shared" si="453"/>
        <v>0.49999999999999994</v>
      </c>
      <c r="TQ68" s="806">
        <f t="shared" si="454"/>
        <v>0.49999999999999994</v>
      </c>
      <c r="TR68" s="806">
        <f t="shared" si="455"/>
        <v>0.49999999999999994</v>
      </c>
      <c r="TS68" s="806">
        <f t="shared" si="456"/>
        <v>0.49999999999999994</v>
      </c>
      <c r="TT68" s="806">
        <f t="shared" si="457"/>
        <v>0.49999999999999994</v>
      </c>
      <c r="TU68" s="806"/>
      <c r="TV68" s="806">
        <f t="shared" si="458"/>
        <v>0.49999999999999994</v>
      </c>
      <c r="TW68" s="806">
        <f t="shared" si="459"/>
        <v>0.49999999999999994</v>
      </c>
      <c r="TX68" s="806">
        <f t="shared" si="460"/>
        <v>0.49999999999999994</v>
      </c>
      <c r="TY68" s="806">
        <f t="shared" si="461"/>
        <v>0.49999999999999994</v>
      </c>
      <c r="TZ68" s="806">
        <f t="shared" si="462"/>
        <v>0.49999999999999994</v>
      </c>
      <c r="UA68" s="806">
        <f t="shared" si="463"/>
        <v>0.49999999999999994</v>
      </c>
      <c r="UB68" s="806">
        <f t="shared" si="464"/>
        <v>0.49999999999999994</v>
      </c>
      <c r="UC68" s="806">
        <f t="shared" si="465"/>
        <v>0.49999999999999994</v>
      </c>
      <c r="UD68" s="1439">
        <f t="shared" si="466"/>
        <v>0.49999999999999994</v>
      </c>
    </row>
    <row r="69" spans="3:550" s="7" customFormat="1" x14ac:dyDescent="0.25">
      <c r="C69" s="21"/>
      <c r="D69" s="1308">
        <v>44044</v>
      </c>
      <c r="E69" s="233">
        <v>0</v>
      </c>
      <c r="F69" s="1392">
        <v>0</v>
      </c>
      <c r="G69" s="1392">
        <v>0</v>
      </c>
      <c r="H69" s="1392">
        <v>0</v>
      </c>
      <c r="I69" s="1392">
        <v>0</v>
      </c>
      <c r="J69" s="1392">
        <v>0</v>
      </c>
      <c r="K69" s="1392">
        <v>0</v>
      </c>
      <c r="L69" s="1392">
        <v>0</v>
      </c>
      <c r="M69" s="1392">
        <v>0</v>
      </c>
      <c r="N69" s="1392">
        <v>0</v>
      </c>
      <c r="O69" s="1392">
        <v>0</v>
      </c>
      <c r="P69" s="1392">
        <v>0</v>
      </c>
      <c r="Q69" s="1392">
        <v>0</v>
      </c>
      <c r="R69" s="1392">
        <v>0</v>
      </c>
      <c r="S69" s="1392">
        <v>0</v>
      </c>
      <c r="T69" s="1392">
        <v>0</v>
      </c>
      <c r="U69" s="1392">
        <v>0</v>
      </c>
      <c r="V69" s="1392">
        <v>0</v>
      </c>
      <c r="W69" s="1392">
        <v>0</v>
      </c>
      <c r="X69" s="1392">
        <v>0</v>
      </c>
      <c r="Y69" s="1392">
        <v>0</v>
      </c>
      <c r="Z69" s="1392">
        <v>0</v>
      </c>
      <c r="AA69" s="1392">
        <v>0</v>
      </c>
      <c r="AB69" s="1392">
        <v>0</v>
      </c>
      <c r="AC69" s="1392">
        <v>0</v>
      </c>
      <c r="AD69" s="1392">
        <v>0</v>
      </c>
      <c r="AE69" s="1392">
        <v>0</v>
      </c>
      <c r="AF69" s="1392">
        <v>0</v>
      </c>
      <c r="AG69" s="1392">
        <v>0</v>
      </c>
      <c r="AH69" s="1392">
        <v>0</v>
      </c>
      <c r="AI69" s="1392">
        <v>0</v>
      </c>
      <c r="AJ69" s="1392">
        <v>0</v>
      </c>
      <c r="AK69" s="1392">
        <v>0</v>
      </c>
      <c r="AL69" s="1392">
        <v>0</v>
      </c>
      <c r="AM69" s="1392">
        <v>0</v>
      </c>
      <c r="AN69" s="1392">
        <v>0</v>
      </c>
      <c r="AO69" s="1392">
        <v>0</v>
      </c>
      <c r="AP69" s="1392">
        <v>0</v>
      </c>
      <c r="AQ69" s="1392">
        <v>0</v>
      </c>
      <c r="AR69" s="1392">
        <v>0</v>
      </c>
      <c r="AS69" s="1392">
        <v>0</v>
      </c>
      <c r="AT69" s="1392">
        <v>0</v>
      </c>
      <c r="AU69" s="1392">
        <v>0</v>
      </c>
      <c r="AV69" s="1392">
        <v>0</v>
      </c>
      <c r="AW69" s="1392">
        <v>0</v>
      </c>
      <c r="AX69" s="1392">
        <v>0</v>
      </c>
      <c r="AY69" s="1392">
        <v>0</v>
      </c>
      <c r="AZ69" s="1392">
        <v>0</v>
      </c>
      <c r="BA69" s="1392">
        <v>0</v>
      </c>
      <c r="BB69" s="1392">
        <v>0</v>
      </c>
      <c r="BC69" s="1392">
        <v>0</v>
      </c>
      <c r="BD69" s="1392">
        <v>0</v>
      </c>
      <c r="BE69" s="1392">
        <v>0</v>
      </c>
      <c r="BF69" s="1392">
        <v>0</v>
      </c>
      <c r="BG69" s="1392">
        <v>0</v>
      </c>
      <c r="BH69" s="1392">
        <v>0</v>
      </c>
      <c r="BI69" s="1392">
        <v>0</v>
      </c>
      <c r="BJ69" s="1392">
        <v>0</v>
      </c>
      <c r="BK69" s="1392">
        <v>0</v>
      </c>
      <c r="BL69" s="1392">
        <v>0</v>
      </c>
      <c r="BM69" s="1392">
        <v>0</v>
      </c>
      <c r="BN69" s="1392">
        <v>0</v>
      </c>
      <c r="BO69" s="1392">
        <v>0</v>
      </c>
      <c r="BP69" s="1392">
        <v>0</v>
      </c>
      <c r="BQ69" s="1392">
        <v>0</v>
      </c>
      <c r="BR69" s="1392">
        <v>0</v>
      </c>
      <c r="BS69" s="1392">
        <v>0</v>
      </c>
      <c r="BT69" s="1392">
        <v>0</v>
      </c>
      <c r="BU69" s="1392">
        <v>0</v>
      </c>
      <c r="BV69" s="1392">
        <v>0</v>
      </c>
      <c r="BW69" s="1392">
        <v>0</v>
      </c>
      <c r="BX69" s="1392">
        <v>0</v>
      </c>
      <c r="BY69" s="1392">
        <v>0</v>
      </c>
      <c r="BZ69" s="1392">
        <v>0</v>
      </c>
      <c r="CA69" s="1392">
        <v>0</v>
      </c>
      <c r="CB69" s="1392">
        <v>0</v>
      </c>
      <c r="CC69" s="1392">
        <v>0</v>
      </c>
      <c r="CD69" s="1392">
        <v>0</v>
      </c>
      <c r="CE69" s="1392">
        <v>0</v>
      </c>
      <c r="CF69" s="1392">
        <v>0</v>
      </c>
      <c r="CG69" s="1392">
        <v>0</v>
      </c>
      <c r="CH69" s="1392">
        <v>0</v>
      </c>
      <c r="CI69" s="1392">
        <v>0</v>
      </c>
      <c r="CJ69" s="1392">
        <v>0</v>
      </c>
      <c r="CK69" s="1392">
        <v>0</v>
      </c>
      <c r="CL69" s="1392">
        <v>0</v>
      </c>
      <c r="CM69" s="1392">
        <v>0</v>
      </c>
      <c r="CN69" s="1392">
        <v>0</v>
      </c>
      <c r="CO69" s="1392">
        <v>0</v>
      </c>
      <c r="CP69" s="1392">
        <v>0</v>
      </c>
      <c r="CQ69" s="1392">
        <v>0</v>
      </c>
      <c r="CR69" s="1392">
        <v>0</v>
      </c>
      <c r="CS69" s="1392">
        <v>0</v>
      </c>
      <c r="CT69" s="1392">
        <v>0</v>
      </c>
      <c r="CU69" s="1392">
        <v>0</v>
      </c>
      <c r="CV69" s="1392">
        <v>0</v>
      </c>
      <c r="CW69" s="1392">
        <v>0</v>
      </c>
      <c r="CX69" s="1392">
        <v>0</v>
      </c>
      <c r="CY69" s="1392">
        <v>0</v>
      </c>
      <c r="CZ69" s="1392">
        <v>0</v>
      </c>
      <c r="DA69" s="1392">
        <v>0</v>
      </c>
      <c r="DB69" s="1392">
        <v>0</v>
      </c>
      <c r="DC69" s="1392">
        <v>0</v>
      </c>
      <c r="DD69" s="1392">
        <v>0</v>
      </c>
      <c r="DE69" s="1392">
        <v>0</v>
      </c>
      <c r="DF69" s="1392">
        <v>0</v>
      </c>
      <c r="DG69" s="1392">
        <v>0</v>
      </c>
      <c r="DH69" s="1392">
        <v>0</v>
      </c>
      <c r="DI69" s="1392">
        <v>0</v>
      </c>
      <c r="DJ69" s="1392">
        <v>0</v>
      </c>
      <c r="DK69" s="1392">
        <v>0</v>
      </c>
      <c r="DL69" s="1392">
        <v>0</v>
      </c>
      <c r="DM69" s="1392">
        <v>0</v>
      </c>
      <c r="DN69" s="1392">
        <v>0</v>
      </c>
      <c r="DO69" s="1392">
        <v>0</v>
      </c>
      <c r="DP69" s="1392">
        <v>0</v>
      </c>
      <c r="DQ69" s="1392">
        <v>0</v>
      </c>
      <c r="DR69" s="1392">
        <v>0</v>
      </c>
      <c r="DS69" s="1392">
        <v>0</v>
      </c>
      <c r="DT69" s="1392">
        <v>0</v>
      </c>
      <c r="DU69" s="1392">
        <v>0</v>
      </c>
      <c r="DV69" s="1392">
        <v>0</v>
      </c>
      <c r="DW69" s="1392">
        <v>0</v>
      </c>
      <c r="DX69" s="1392">
        <v>0</v>
      </c>
      <c r="DY69" s="1392">
        <v>0</v>
      </c>
      <c r="DZ69" s="1392">
        <v>0</v>
      </c>
      <c r="EA69" s="1392">
        <v>0</v>
      </c>
      <c r="EB69" s="1392">
        <v>0</v>
      </c>
      <c r="EC69" s="1392">
        <v>0</v>
      </c>
      <c r="ED69" s="1392">
        <v>0</v>
      </c>
      <c r="EE69" s="1392">
        <v>0</v>
      </c>
      <c r="EF69" s="1392">
        <v>0</v>
      </c>
      <c r="EG69" s="1392">
        <v>0</v>
      </c>
      <c r="EH69" s="1392">
        <v>0</v>
      </c>
      <c r="EI69" s="1392">
        <v>0</v>
      </c>
      <c r="EJ69" s="1392">
        <v>0</v>
      </c>
      <c r="EK69" s="1392">
        <v>0</v>
      </c>
      <c r="EL69" s="1392">
        <v>0</v>
      </c>
      <c r="EM69" s="1392">
        <v>0</v>
      </c>
      <c r="EN69" s="1392">
        <v>0</v>
      </c>
      <c r="EO69" s="1392">
        <v>0</v>
      </c>
      <c r="EP69" s="1392">
        <v>0</v>
      </c>
      <c r="EQ69" s="1392">
        <v>0</v>
      </c>
      <c r="ER69" s="1393">
        <v>0</v>
      </c>
      <c r="ES69" s="377"/>
      <c r="ET69" s="316">
        <f t="shared" si="335"/>
        <v>1</v>
      </c>
      <c r="EU69" s="1392">
        <f t="shared" si="20"/>
        <v>1</v>
      </c>
      <c r="EV69" s="1392">
        <f t="shared" si="21"/>
        <v>1</v>
      </c>
      <c r="EW69" s="1392">
        <f t="shared" si="22"/>
        <v>1</v>
      </c>
      <c r="EX69" s="1392">
        <f t="shared" si="23"/>
        <v>1</v>
      </c>
      <c r="EY69" s="1392">
        <f t="shared" si="24"/>
        <v>1</v>
      </c>
      <c r="EZ69" s="1392">
        <f t="shared" si="25"/>
        <v>1</v>
      </c>
      <c r="FA69" s="1392">
        <f t="shared" si="26"/>
        <v>1</v>
      </c>
      <c r="FB69" s="1392">
        <f t="shared" si="27"/>
        <v>1</v>
      </c>
      <c r="FC69" s="1392">
        <f t="shared" si="28"/>
        <v>1</v>
      </c>
      <c r="FD69" s="1392">
        <f t="shared" si="29"/>
        <v>1</v>
      </c>
      <c r="FE69" s="1392">
        <f t="shared" si="30"/>
        <v>1</v>
      </c>
      <c r="FF69" s="1392">
        <f t="shared" si="31"/>
        <v>1</v>
      </c>
      <c r="FG69" s="1392">
        <f t="shared" si="32"/>
        <v>1</v>
      </c>
      <c r="FH69" s="1392">
        <f t="shared" si="33"/>
        <v>1</v>
      </c>
      <c r="FI69" s="1392">
        <f t="shared" si="34"/>
        <v>1</v>
      </c>
      <c r="FJ69" s="1392">
        <f t="shared" si="35"/>
        <v>1</v>
      </c>
      <c r="FK69" s="1392">
        <f t="shared" si="36"/>
        <v>1</v>
      </c>
      <c r="FL69" s="1392">
        <f t="shared" si="37"/>
        <v>1</v>
      </c>
      <c r="FM69" s="1392">
        <f t="shared" si="38"/>
        <v>1</v>
      </c>
      <c r="FN69" s="1392">
        <f t="shared" si="39"/>
        <v>1</v>
      </c>
      <c r="FO69" s="1392">
        <f t="shared" si="40"/>
        <v>1</v>
      </c>
      <c r="FP69" s="1392">
        <f t="shared" si="41"/>
        <v>1</v>
      </c>
      <c r="FQ69" s="1392">
        <f t="shared" si="42"/>
        <v>1</v>
      </c>
      <c r="FR69" s="1392">
        <f t="shared" si="43"/>
        <v>1</v>
      </c>
      <c r="FS69" s="1392">
        <f t="shared" si="44"/>
        <v>1</v>
      </c>
      <c r="FT69" s="1392">
        <f t="shared" si="45"/>
        <v>1</v>
      </c>
      <c r="FU69" s="1392">
        <f t="shared" si="46"/>
        <v>1</v>
      </c>
      <c r="FV69" s="1392">
        <f t="shared" si="47"/>
        <v>1</v>
      </c>
      <c r="FW69" s="1392">
        <f t="shared" si="48"/>
        <v>1</v>
      </c>
      <c r="FX69" s="1392">
        <f t="shared" si="49"/>
        <v>1</v>
      </c>
      <c r="FY69" s="1392">
        <f t="shared" si="50"/>
        <v>1</v>
      </c>
      <c r="FZ69" s="1392">
        <f t="shared" si="51"/>
        <v>1</v>
      </c>
      <c r="GA69" s="1392">
        <f t="shared" si="52"/>
        <v>1</v>
      </c>
      <c r="GB69" s="1392">
        <f t="shared" si="53"/>
        <v>1</v>
      </c>
      <c r="GC69" s="1392">
        <f t="shared" si="54"/>
        <v>1</v>
      </c>
      <c r="GD69" s="1392">
        <f t="shared" si="55"/>
        <v>1</v>
      </c>
      <c r="GE69" s="1392">
        <f t="shared" si="56"/>
        <v>1</v>
      </c>
      <c r="GF69" s="1392">
        <f t="shared" si="57"/>
        <v>1</v>
      </c>
      <c r="GG69" s="1392">
        <f t="shared" si="58"/>
        <v>1</v>
      </c>
      <c r="GH69" s="1392">
        <f t="shared" si="59"/>
        <v>1</v>
      </c>
      <c r="GI69" s="1392">
        <f t="shared" si="60"/>
        <v>1</v>
      </c>
      <c r="GJ69" s="1392">
        <f t="shared" si="61"/>
        <v>1</v>
      </c>
      <c r="GK69" s="1392">
        <f t="shared" si="62"/>
        <v>1</v>
      </c>
      <c r="GL69" s="1392">
        <f t="shared" si="63"/>
        <v>1</v>
      </c>
      <c r="GM69" s="1392">
        <f t="shared" si="64"/>
        <v>1</v>
      </c>
      <c r="GN69" s="1392">
        <f t="shared" si="65"/>
        <v>1</v>
      </c>
      <c r="GO69" s="1392">
        <f t="shared" si="66"/>
        <v>1</v>
      </c>
      <c r="GP69" s="1392">
        <f t="shared" si="67"/>
        <v>1</v>
      </c>
      <c r="GQ69" s="1392">
        <f t="shared" si="68"/>
        <v>1</v>
      </c>
      <c r="GR69" s="1392">
        <f t="shared" si="69"/>
        <v>1</v>
      </c>
      <c r="GS69" s="1392">
        <f t="shared" si="70"/>
        <v>1</v>
      </c>
      <c r="GT69" s="1392">
        <f t="shared" si="71"/>
        <v>1</v>
      </c>
      <c r="GU69" s="1392">
        <f t="shared" si="72"/>
        <v>1</v>
      </c>
      <c r="GV69" s="1392">
        <f t="shared" si="73"/>
        <v>1</v>
      </c>
      <c r="GW69" s="1392">
        <f t="shared" si="74"/>
        <v>1</v>
      </c>
      <c r="GX69" s="1392">
        <f t="shared" si="75"/>
        <v>1</v>
      </c>
      <c r="GY69" s="1392">
        <f t="shared" si="76"/>
        <v>1</v>
      </c>
      <c r="GZ69" s="1392">
        <f t="shared" si="77"/>
        <v>1</v>
      </c>
      <c r="HA69" s="1392">
        <f t="shared" si="78"/>
        <v>1</v>
      </c>
      <c r="HB69" s="1392">
        <f t="shared" si="79"/>
        <v>1</v>
      </c>
      <c r="HC69" s="1392">
        <f t="shared" si="80"/>
        <v>1</v>
      </c>
      <c r="HD69" s="1392">
        <f t="shared" si="81"/>
        <v>1</v>
      </c>
      <c r="HE69" s="1392">
        <f t="shared" si="82"/>
        <v>1</v>
      </c>
      <c r="HF69" s="1392">
        <f t="shared" si="83"/>
        <v>1</v>
      </c>
      <c r="HG69" s="1392">
        <f t="shared" si="84"/>
        <v>1</v>
      </c>
      <c r="HH69" s="1392">
        <f t="shared" si="85"/>
        <v>1</v>
      </c>
      <c r="HI69" s="1392">
        <f t="shared" si="86"/>
        <v>1</v>
      </c>
      <c r="HJ69" s="1392">
        <f t="shared" si="87"/>
        <v>1</v>
      </c>
      <c r="HK69" s="1392">
        <f t="shared" si="88"/>
        <v>1</v>
      </c>
      <c r="HL69" s="1392">
        <f t="shared" si="89"/>
        <v>1</v>
      </c>
      <c r="HM69" s="1392">
        <f t="shared" si="90"/>
        <v>1</v>
      </c>
      <c r="HN69" s="1392">
        <f t="shared" si="91"/>
        <v>1</v>
      </c>
      <c r="HO69" s="1392">
        <f t="shared" si="92"/>
        <v>1</v>
      </c>
      <c r="HP69" s="1392">
        <f t="shared" si="93"/>
        <v>1</v>
      </c>
      <c r="HQ69" s="1392">
        <f t="shared" si="94"/>
        <v>1</v>
      </c>
      <c r="HR69" s="1392">
        <f t="shared" si="95"/>
        <v>1</v>
      </c>
      <c r="HS69" s="1392">
        <f t="shared" si="96"/>
        <v>1</v>
      </c>
      <c r="HT69" s="1392">
        <f t="shared" si="97"/>
        <v>1</v>
      </c>
      <c r="HU69" s="1392">
        <f t="shared" si="98"/>
        <v>1</v>
      </c>
      <c r="HV69" s="1392">
        <f t="shared" si="99"/>
        <v>1</v>
      </c>
      <c r="HW69" s="1392">
        <f t="shared" si="100"/>
        <v>1</v>
      </c>
      <c r="HX69" s="1392">
        <f t="shared" si="101"/>
        <v>1</v>
      </c>
      <c r="HY69" s="1392">
        <f t="shared" si="102"/>
        <v>1</v>
      </c>
      <c r="HZ69" s="1392">
        <f t="shared" si="103"/>
        <v>1</v>
      </c>
      <c r="IA69" s="1392">
        <f t="shared" si="104"/>
        <v>1</v>
      </c>
      <c r="IB69" s="1392">
        <f t="shared" si="105"/>
        <v>1</v>
      </c>
      <c r="IC69" s="1392">
        <f t="shared" si="106"/>
        <v>1</v>
      </c>
      <c r="ID69" s="1392">
        <f t="shared" si="107"/>
        <v>1</v>
      </c>
      <c r="IE69" s="1392">
        <f t="shared" si="108"/>
        <v>1</v>
      </c>
      <c r="IF69" s="1392">
        <f t="shared" si="109"/>
        <v>1</v>
      </c>
      <c r="IG69" s="1392">
        <f t="shared" si="110"/>
        <v>1</v>
      </c>
      <c r="IH69" s="1392">
        <f t="shared" si="111"/>
        <v>1</v>
      </c>
      <c r="II69" s="1392">
        <f t="shared" si="112"/>
        <v>1</v>
      </c>
      <c r="IJ69" s="1392">
        <f t="shared" si="113"/>
        <v>1</v>
      </c>
      <c r="IK69" s="1392">
        <f t="shared" si="114"/>
        <v>1</v>
      </c>
      <c r="IL69" s="1392">
        <f t="shared" si="115"/>
        <v>1</v>
      </c>
      <c r="IM69" s="1392">
        <f t="shared" si="116"/>
        <v>1</v>
      </c>
      <c r="IN69" s="1392">
        <f t="shared" si="117"/>
        <v>1</v>
      </c>
      <c r="IO69" s="1392">
        <f t="shared" si="118"/>
        <v>1</v>
      </c>
      <c r="IP69" s="1392">
        <f t="shared" si="119"/>
        <v>1</v>
      </c>
      <c r="IQ69" s="1392">
        <f t="shared" si="120"/>
        <v>1</v>
      </c>
      <c r="IR69" s="1392">
        <f t="shared" si="121"/>
        <v>1</v>
      </c>
      <c r="IS69" s="1392">
        <f t="shared" si="122"/>
        <v>1</v>
      </c>
      <c r="IT69" s="1392">
        <f t="shared" si="123"/>
        <v>1</v>
      </c>
      <c r="IU69" s="1392">
        <f t="shared" si="124"/>
        <v>1</v>
      </c>
      <c r="IV69" s="1392">
        <f t="shared" si="125"/>
        <v>1</v>
      </c>
      <c r="IW69" s="1392">
        <f t="shared" si="126"/>
        <v>1</v>
      </c>
      <c r="IX69" s="1392">
        <f t="shared" si="127"/>
        <v>1</v>
      </c>
      <c r="IY69" s="1392">
        <f t="shared" si="128"/>
        <v>1</v>
      </c>
      <c r="IZ69" s="1392">
        <f t="shared" si="129"/>
        <v>1</v>
      </c>
      <c r="JA69" s="1392">
        <f t="shared" si="130"/>
        <v>1</v>
      </c>
      <c r="JB69" s="1392">
        <f t="shared" si="131"/>
        <v>1</v>
      </c>
      <c r="JC69" s="1392">
        <f t="shared" si="132"/>
        <v>1</v>
      </c>
      <c r="JD69" s="1392">
        <f t="shared" si="133"/>
        <v>1</v>
      </c>
      <c r="JE69" s="1392">
        <f t="shared" si="134"/>
        <v>1</v>
      </c>
      <c r="JF69" s="1392">
        <f t="shared" si="135"/>
        <v>1</v>
      </c>
      <c r="JG69" s="1392">
        <f t="shared" si="136"/>
        <v>1</v>
      </c>
      <c r="JH69" s="1392">
        <f t="shared" si="137"/>
        <v>1</v>
      </c>
      <c r="JI69" s="1392">
        <f t="shared" si="138"/>
        <v>1</v>
      </c>
      <c r="JJ69" s="1392">
        <f t="shared" si="139"/>
        <v>1</v>
      </c>
      <c r="JK69" s="1392">
        <f t="shared" si="140"/>
        <v>1</v>
      </c>
      <c r="JL69" s="1392">
        <f t="shared" si="141"/>
        <v>1</v>
      </c>
      <c r="JM69" s="1392">
        <f t="shared" si="142"/>
        <v>1</v>
      </c>
      <c r="JN69" s="1392">
        <f t="shared" si="143"/>
        <v>1</v>
      </c>
      <c r="JO69" s="1392">
        <f t="shared" si="144"/>
        <v>1</v>
      </c>
      <c r="JP69" s="1392">
        <f t="shared" si="145"/>
        <v>1</v>
      </c>
      <c r="JQ69" s="1392">
        <f t="shared" si="146"/>
        <v>1</v>
      </c>
      <c r="JR69" s="1392">
        <f t="shared" si="147"/>
        <v>1</v>
      </c>
      <c r="JS69" s="1392">
        <f t="shared" si="148"/>
        <v>1</v>
      </c>
      <c r="JT69" s="1392">
        <f t="shared" si="149"/>
        <v>1</v>
      </c>
      <c r="JU69" s="1392">
        <f t="shared" si="150"/>
        <v>1</v>
      </c>
      <c r="JV69" s="1392">
        <f t="shared" si="151"/>
        <v>1</v>
      </c>
      <c r="JW69" s="1392">
        <f t="shared" si="152"/>
        <v>1</v>
      </c>
      <c r="JX69" s="1392">
        <f t="shared" si="153"/>
        <v>1</v>
      </c>
      <c r="JY69" s="1392">
        <f t="shared" si="154"/>
        <v>1</v>
      </c>
      <c r="JZ69" s="1392">
        <f t="shared" si="155"/>
        <v>1</v>
      </c>
      <c r="KA69" s="1392">
        <f t="shared" si="156"/>
        <v>1</v>
      </c>
      <c r="KB69" s="1392">
        <f t="shared" si="157"/>
        <v>1</v>
      </c>
      <c r="KC69" s="1392">
        <f t="shared" si="158"/>
        <v>1</v>
      </c>
      <c r="KD69" s="1392">
        <f t="shared" si="159"/>
        <v>1</v>
      </c>
      <c r="KE69" s="1392">
        <f t="shared" si="160"/>
        <v>1</v>
      </c>
      <c r="KF69" s="1392">
        <f t="shared" si="161"/>
        <v>1</v>
      </c>
      <c r="KG69" s="1399">
        <f t="shared" si="162"/>
        <v>1</v>
      </c>
      <c r="KH69" s="1406">
        <f t="shared" si="163"/>
        <v>144</v>
      </c>
      <c r="KI69" s="377"/>
      <c r="KJ69" s="1444">
        <f t="shared" si="164"/>
        <v>19.879253198304003</v>
      </c>
      <c r="KK69" s="49">
        <f t="shared" si="165"/>
        <v>0</v>
      </c>
      <c r="KL69" s="377"/>
      <c r="KM69" s="908">
        <f t="shared" si="166"/>
        <v>6.9444444444444441E-3</v>
      </c>
      <c r="KN69" s="1411">
        <f t="shared" si="167"/>
        <v>6.9444444444444441E-3</v>
      </c>
      <c r="KO69" s="1411">
        <f t="shared" si="168"/>
        <v>6.9444444444444441E-3</v>
      </c>
      <c r="KP69" s="1411">
        <f t="shared" si="169"/>
        <v>6.9444444444444441E-3</v>
      </c>
      <c r="KQ69" s="1411">
        <f t="shared" si="170"/>
        <v>6.9444444444444441E-3</v>
      </c>
      <c r="KR69" s="1411">
        <f t="shared" si="171"/>
        <v>6.9444444444444441E-3</v>
      </c>
      <c r="KS69" s="1411">
        <f t="shared" si="172"/>
        <v>6.9444444444444441E-3</v>
      </c>
      <c r="KT69" s="1411">
        <f t="shared" si="173"/>
        <v>6.9444444444444441E-3</v>
      </c>
      <c r="KU69" s="1411">
        <f t="shared" si="174"/>
        <v>6.9444444444444441E-3</v>
      </c>
      <c r="KV69" s="1411">
        <f t="shared" si="175"/>
        <v>6.9444444444444441E-3</v>
      </c>
      <c r="KW69" s="1411">
        <f t="shared" si="176"/>
        <v>6.9444444444444441E-3</v>
      </c>
      <c r="KX69" s="1411">
        <f t="shared" si="177"/>
        <v>6.9444444444444441E-3</v>
      </c>
      <c r="KY69" s="1411">
        <f t="shared" si="178"/>
        <v>6.9444444444444441E-3</v>
      </c>
      <c r="KZ69" s="1411">
        <f t="shared" si="179"/>
        <v>6.9444444444444441E-3</v>
      </c>
      <c r="LA69" s="1411">
        <f t="shared" si="180"/>
        <v>6.9444444444444441E-3</v>
      </c>
      <c r="LB69" s="1411">
        <f t="shared" si="181"/>
        <v>6.9444444444444441E-3</v>
      </c>
      <c r="LC69" s="1411">
        <f t="shared" si="182"/>
        <v>6.9444444444444441E-3</v>
      </c>
      <c r="LD69" s="1411">
        <f t="shared" si="183"/>
        <v>6.9444444444444441E-3</v>
      </c>
      <c r="LE69" s="1411">
        <f t="shared" si="184"/>
        <v>6.9444444444444441E-3</v>
      </c>
      <c r="LF69" s="1411">
        <f t="shared" si="185"/>
        <v>6.9444444444444441E-3</v>
      </c>
      <c r="LG69" s="1411">
        <f t="shared" si="186"/>
        <v>6.9444444444444441E-3</v>
      </c>
      <c r="LH69" s="1411">
        <f t="shared" si="187"/>
        <v>6.9444444444444441E-3</v>
      </c>
      <c r="LI69" s="1411">
        <f t="shared" si="188"/>
        <v>6.9444444444444441E-3</v>
      </c>
      <c r="LJ69" s="1411">
        <f t="shared" si="189"/>
        <v>6.9444444444444441E-3</v>
      </c>
      <c r="LK69" s="1411">
        <f t="shared" si="190"/>
        <v>6.9444444444444441E-3</v>
      </c>
      <c r="LL69" s="1411">
        <f t="shared" si="191"/>
        <v>6.9444444444444441E-3</v>
      </c>
      <c r="LM69" s="1411">
        <f t="shared" si="192"/>
        <v>6.9444444444444441E-3</v>
      </c>
      <c r="LN69" s="1411">
        <f t="shared" si="193"/>
        <v>6.9444444444444441E-3</v>
      </c>
      <c r="LO69" s="1411">
        <f t="shared" si="194"/>
        <v>6.9444444444444441E-3</v>
      </c>
      <c r="LP69" s="1411">
        <f t="shared" si="195"/>
        <v>6.9444444444444441E-3</v>
      </c>
      <c r="LQ69" s="1411">
        <f t="shared" si="196"/>
        <v>6.9444444444444441E-3</v>
      </c>
      <c r="LR69" s="1411">
        <f t="shared" si="197"/>
        <v>6.9444444444444441E-3</v>
      </c>
      <c r="LS69" s="1411">
        <f t="shared" si="198"/>
        <v>6.9444444444444441E-3</v>
      </c>
      <c r="LT69" s="1411">
        <f t="shared" si="199"/>
        <v>6.9444444444444441E-3</v>
      </c>
      <c r="LU69" s="1411">
        <f t="shared" si="200"/>
        <v>6.9444444444444441E-3</v>
      </c>
      <c r="LV69" s="1411">
        <f t="shared" si="201"/>
        <v>6.9444444444444441E-3</v>
      </c>
      <c r="LW69" s="1411">
        <f t="shared" si="202"/>
        <v>6.9444444444444441E-3</v>
      </c>
      <c r="LX69" s="1411">
        <f t="shared" si="203"/>
        <v>6.9444444444444441E-3</v>
      </c>
      <c r="LY69" s="1411">
        <f t="shared" si="204"/>
        <v>6.9444444444444441E-3</v>
      </c>
      <c r="LZ69" s="1411">
        <f t="shared" si="205"/>
        <v>6.9444444444444441E-3</v>
      </c>
      <c r="MA69" s="1411">
        <f t="shared" si="206"/>
        <v>6.9444444444444441E-3</v>
      </c>
      <c r="MB69" s="1411">
        <f t="shared" si="207"/>
        <v>6.9444444444444441E-3</v>
      </c>
      <c r="MC69" s="1411">
        <f t="shared" si="208"/>
        <v>6.9444444444444441E-3</v>
      </c>
      <c r="MD69" s="1411">
        <f t="shared" si="209"/>
        <v>6.9444444444444441E-3</v>
      </c>
      <c r="ME69" s="1411">
        <f t="shared" si="210"/>
        <v>6.9444444444444441E-3</v>
      </c>
      <c r="MF69" s="1411">
        <f t="shared" si="211"/>
        <v>6.9444444444444441E-3</v>
      </c>
      <c r="MG69" s="1411">
        <f t="shared" si="212"/>
        <v>6.9444444444444441E-3</v>
      </c>
      <c r="MH69" s="1411">
        <f t="shared" si="213"/>
        <v>6.9444444444444441E-3</v>
      </c>
      <c r="MI69" s="1411">
        <f t="shared" si="214"/>
        <v>6.9444444444444441E-3</v>
      </c>
      <c r="MJ69" s="1411">
        <f t="shared" si="215"/>
        <v>6.9444444444444441E-3</v>
      </c>
      <c r="MK69" s="1411">
        <f t="shared" si="216"/>
        <v>6.9444444444444441E-3</v>
      </c>
      <c r="ML69" s="1411">
        <f t="shared" si="217"/>
        <v>6.9444444444444441E-3</v>
      </c>
      <c r="MM69" s="1411">
        <f t="shared" si="218"/>
        <v>6.9444444444444441E-3</v>
      </c>
      <c r="MN69" s="1411">
        <f t="shared" si="219"/>
        <v>6.9444444444444441E-3</v>
      </c>
      <c r="MO69" s="1411">
        <f t="shared" si="220"/>
        <v>6.9444444444444441E-3</v>
      </c>
      <c r="MP69" s="1411">
        <f t="shared" si="221"/>
        <v>6.9444444444444441E-3</v>
      </c>
      <c r="MQ69" s="1411">
        <f t="shared" si="222"/>
        <v>6.9444444444444441E-3</v>
      </c>
      <c r="MR69" s="1411">
        <f t="shared" si="223"/>
        <v>6.9444444444444441E-3</v>
      </c>
      <c r="MS69" s="1411">
        <f t="shared" si="224"/>
        <v>6.9444444444444441E-3</v>
      </c>
      <c r="MT69" s="1411">
        <f t="shared" si="225"/>
        <v>6.9444444444444441E-3</v>
      </c>
      <c r="MU69" s="1411">
        <f t="shared" si="226"/>
        <v>6.9444444444444441E-3</v>
      </c>
      <c r="MV69" s="1411">
        <f t="shared" si="227"/>
        <v>6.9444444444444441E-3</v>
      </c>
      <c r="MW69" s="1411">
        <f t="shared" si="228"/>
        <v>6.9444444444444441E-3</v>
      </c>
      <c r="MX69" s="1411">
        <f t="shared" si="229"/>
        <v>6.9444444444444441E-3</v>
      </c>
      <c r="MY69" s="1411">
        <f t="shared" si="230"/>
        <v>6.9444444444444441E-3</v>
      </c>
      <c r="MZ69" s="1411">
        <f t="shared" si="231"/>
        <v>6.9444444444444441E-3</v>
      </c>
      <c r="NA69" s="1411">
        <f t="shared" si="232"/>
        <v>6.9444444444444441E-3</v>
      </c>
      <c r="NB69" s="1411">
        <f t="shared" si="233"/>
        <v>6.9444444444444441E-3</v>
      </c>
      <c r="NC69" s="1411">
        <f t="shared" si="234"/>
        <v>6.9444444444444441E-3</v>
      </c>
      <c r="ND69" s="1411">
        <f t="shared" si="235"/>
        <v>6.9444444444444441E-3</v>
      </c>
      <c r="NE69" s="1411">
        <f t="shared" si="236"/>
        <v>6.9444444444444441E-3</v>
      </c>
      <c r="NF69" s="1411">
        <f t="shared" si="237"/>
        <v>6.9444444444444441E-3</v>
      </c>
      <c r="NG69" s="1411">
        <f t="shared" si="238"/>
        <v>6.9444444444444441E-3</v>
      </c>
      <c r="NH69" s="1411">
        <f t="shared" si="239"/>
        <v>6.9444444444444441E-3</v>
      </c>
      <c r="NI69" s="1411">
        <f t="shared" si="240"/>
        <v>6.9444444444444441E-3</v>
      </c>
      <c r="NJ69" s="1411">
        <f t="shared" si="241"/>
        <v>6.9444444444444441E-3</v>
      </c>
      <c r="NK69" s="1411">
        <f t="shared" si="242"/>
        <v>6.9444444444444441E-3</v>
      </c>
      <c r="NL69" s="1411">
        <f t="shared" si="243"/>
        <v>6.9444444444444441E-3</v>
      </c>
      <c r="NM69" s="1411">
        <f t="shared" si="244"/>
        <v>6.9444444444444441E-3</v>
      </c>
      <c r="NN69" s="1411">
        <f t="shared" si="245"/>
        <v>6.9444444444444441E-3</v>
      </c>
      <c r="NO69" s="1411">
        <f t="shared" si="246"/>
        <v>6.9444444444444441E-3</v>
      </c>
      <c r="NP69" s="1411">
        <f t="shared" si="247"/>
        <v>6.9444444444444441E-3</v>
      </c>
      <c r="NQ69" s="1411">
        <f t="shared" si="248"/>
        <v>6.9444444444444441E-3</v>
      </c>
      <c r="NR69" s="1411">
        <f t="shared" si="249"/>
        <v>6.9444444444444441E-3</v>
      </c>
      <c r="NS69" s="1411">
        <f t="shared" si="250"/>
        <v>6.9444444444444441E-3</v>
      </c>
      <c r="NT69" s="1411">
        <f t="shared" si="251"/>
        <v>6.9444444444444441E-3</v>
      </c>
      <c r="NU69" s="1411">
        <f t="shared" si="252"/>
        <v>6.9444444444444441E-3</v>
      </c>
      <c r="NV69" s="1411">
        <f t="shared" si="253"/>
        <v>6.9444444444444441E-3</v>
      </c>
      <c r="NW69" s="1411">
        <f t="shared" si="254"/>
        <v>6.9444444444444441E-3</v>
      </c>
      <c r="NX69" s="1411">
        <f t="shared" si="255"/>
        <v>6.9444444444444441E-3</v>
      </c>
      <c r="NY69" s="1411">
        <f t="shared" si="256"/>
        <v>6.9444444444444441E-3</v>
      </c>
      <c r="NZ69" s="1411">
        <f t="shared" si="257"/>
        <v>6.9444444444444441E-3</v>
      </c>
      <c r="OA69" s="1411">
        <f t="shared" si="258"/>
        <v>6.9444444444444441E-3</v>
      </c>
      <c r="OB69" s="1411">
        <f t="shared" si="259"/>
        <v>6.9444444444444441E-3</v>
      </c>
      <c r="OC69" s="1411">
        <f t="shared" si="260"/>
        <v>6.9444444444444441E-3</v>
      </c>
      <c r="OD69" s="1411">
        <f t="shared" si="261"/>
        <v>6.9444444444444441E-3</v>
      </c>
      <c r="OE69" s="1411">
        <f t="shared" si="262"/>
        <v>6.9444444444444441E-3</v>
      </c>
      <c r="OF69" s="1411">
        <f t="shared" si="263"/>
        <v>6.9444444444444441E-3</v>
      </c>
      <c r="OG69" s="1411">
        <f t="shared" si="264"/>
        <v>6.9444444444444441E-3</v>
      </c>
      <c r="OH69" s="1411">
        <f t="shared" si="265"/>
        <v>6.9444444444444441E-3</v>
      </c>
      <c r="OI69" s="1411">
        <f t="shared" si="266"/>
        <v>6.9444444444444441E-3</v>
      </c>
      <c r="OJ69" s="1411">
        <f t="shared" si="267"/>
        <v>6.9444444444444441E-3</v>
      </c>
      <c r="OK69" s="1411">
        <f t="shared" si="268"/>
        <v>6.9444444444444441E-3</v>
      </c>
      <c r="OL69" s="1411">
        <f t="shared" si="269"/>
        <v>6.9444444444444441E-3</v>
      </c>
      <c r="OM69" s="1411">
        <f t="shared" si="270"/>
        <v>6.9444444444444441E-3</v>
      </c>
      <c r="ON69" s="1411">
        <f t="shared" si="271"/>
        <v>6.9444444444444441E-3</v>
      </c>
      <c r="OO69" s="1411">
        <f t="shared" si="272"/>
        <v>6.9444444444444441E-3</v>
      </c>
      <c r="OP69" s="1411">
        <f t="shared" si="273"/>
        <v>6.9444444444444441E-3</v>
      </c>
      <c r="OQ69" s="1411">
        <f t="shared" si="274"/>
        <v>6.9444444444444441E-3</v>
      </c>
      <c r="OR69" s="1411">
        <f t="shared" si="275"/>
        <v>6.9444444444444441E-3</v>
      </c>
      <c r="OS69" s="1411">
        <f t="shared" si="276"/>
        <v>6.9444444444444441E-3</v>
      </c>
      <c r="OT69" s="1411">
        <f t="shared" si="277"/>
        <v>6.9444444444444441E-3</v>
      </c>
      <c r="OU69" s="1411">
        <f t="shared" si="278"/>
        <v>6.9444444444444441E-3</v>
      </c>
      <c r="OV69" s="1411">
        <f t="shared" si="279"/>
        <v>6.9444444444444441E-3</v>
      </c>
      <c r="OW69" s="1411">
        <f t="shared" si="280"/>
        <v>6.9444444444444441E-3</v>
      </c>
      <c r="OX69" s="1411">
        <f t="shared" si="281"/>
        <v>6.9444444444444441E-3</v>
      </c>
      <c r="OY69" s="1411">
        <f t="shared" si="282"/>
        <v>6.9444444444444441E-3</v>
      </c>
      <c r="OZ69" s="1411">
        <f t="shared" si="283"/>
        <v>6.9444444444444441E-3</v>
      </c>
      <c r="PA69" s="1411">
        <f t="shared" si="284"/>
        <v>6.9444444444444441E-3</v>
      </c>
      <c r="PB69" s="1411">
        <f t="shared" si="285"/>
        <v>6.9444444444444441E-3</v>
      </c>
      <c r="PC69" s="1411">
        <f t="shared" si="286"/>
        <v>6.9444444444444441E-3</v>
      </c>
      <c r="PD69" s="1411">
        <f t="shared" si="287"/>
        <v>6.9444444444444441E-3</v>
      </c>
      <c r="PE69" s="1411">
        <f t="shared" si="288"/>
        <v>6.9444444444444441E-3</v>
      </c>
      <c r="PF69" s="1411">
        <f t="shared" si="289"/>
        <v>6.9444444444444441E-3</v>
      </c>
      <c r="PG69" s="1411">
        <f t="shared" si="290"/>
        <v>6.9444444444444441E-3</v>
      </c>
      <c r="PH69" s="1411">
        <f t="shared" si="291"/>
        <v>6.9444444444444441E-3</v>
      </c>
      <c r="PI69" s="1411">
        <f t="shared" si="292"/>
        <v>6.9444444444444441E-3</v>
      </c>
      <c r="PJ69" s="1411">
        <f t="shared" si="293"/>
        <v>6.9444444444444441E-3</v>
      </c>
      <c r="PK69" s="1411">
        <f t="shared" si="294"/>
        <v>6.9444444444444441E-3</v>
      </c>
      <c r="PL69" s="1411">
        <f t="shared" si="295"/>
        <v>6.9444444444444441E-3</v>
      </c>
      <c r="PM69" s="1411">
        <f t="shared" si="296"/>
        <v>6.9444444444444441E-3</v>
      </c>
      <c r="PN69" s="1411">
        <f t="shared" si="297"/>
        <v>6.9444444444444441E-3</v>
      </c>
      <c r="PO69" s="1411">
        <f t="shared" si="298"/>
        <v>6.9444444444444441E-3</v>
      </c>
      <c r="PP69" s="1411">
        <f t="shared" si="299"/>
        <v>6.9444444444444441E-3</v>
      </c>
      <c r="PQ69" s="1411">
        <f t="shared" si="300"/>
        <v>6.9444444444444441E-3</v>
      </c>
      <c r="PR69" s="1411">
        <f t="shared" si="301"/>
        <v>6.9444444444444441E-3</v>
      </c>
      <c r="PS69" s="1411">
        <f t="shared" si="302"/>
        <v>6.9444444444444441E-3</v>
      </c>
      <c r="PT69" s="1411">
        <f t="shared" si="303"/>
        <v>6.9444444444444441E-3</v>
      </c>
      <c r="PU69" s="1411">
        <f t="shared" si="304"/>
        <v>6.9444444444444441E-3</v>
      </c>
      <c r="PV69" s="1411">
        <f t="shared" si="305"/>
        <v>6.9444444444444441E-3</v>
      </c>
      <c r="PW69" s="1411">
        <f t="shared" si="306"/>
        <v>6.9444444444444441E-3</v>
      </c>
      <c r="PX69" s="1411">
        <f t="shared" si="307"/>
        <v>6.9444444444444441E-3</v>
      </c>
      <c r="PY69" s="1411">
        <f t="shared" si="308"/>
        <v>6.9444444444444441E-3</v>
      </c>
      <c r="PZ69" s="1412">
        <f t="shared" si="309"/>
        <v>6.9444444444444441E-3</v>
      </c>
      <c r="QB69" s="33" t="s">
        <v>1072</v>
      </c>
      <c r="QC69" s="1432">
        <f t="shared" si="336"/>
        <v>0.33333333333333309</v>
      </c>
      <c r="QD69" s="744">
        <f t="shared" si="337"/>
        <v>0.33333333333333309</v>
      </c>
      <c r="QE69" s="1068">
        <f t="shared" si="338"/>
        <v>0.33333333333333309</v>
      </c>
      <c r="QF69" s="744">
        <f t="shared" si="339"/>
        <v>0.33333333333333309</v>
      </c>
      <c r="QG69" s="744">
        <f t="shared" si="340"/>
        <v>0.33333333333333309</v>
      </c>
      <c r="QH69" s="1068">
        <f t="shared" si="341"/>
        <v>0.33333333333333309</v>
      </c>
      <c r="QI69" s="744">
        <f t="shared" si="342"/>
        <v>0.49999999999999917</v>
      </c>
      <c r="QJ69" s="1068">
        <f t="shared" si="343"/>
        <v>0.49999999999999917</v>
      </c>
      <c r="QK69" s="744">
        <f t="shared" si="344"/>
        <v>0.49999999999999917</v>
      </c>
      <c r="QL69" s="1068">
        <f t="shared" si="345"/>
        <v>0.49999999999999917</v>
      </c>
      <c r="QM69" s="744">
        <f t="shared" si="346"/>
        <v>0.49999999999999917</v>
      </c>
      <c r="QN69" s="1068">
        <f t="shared" si="347"/>
        <v>0.49999999999999917</v>
      </c>
      <c r="QO69" s="744">
        <f t="shared" si="348"/>
        <v>0.49999999999999917</v>
      </c>
      <c r="QP69" s="1068">
        <f t="shared" si="349"/>
        <v>0.49999999999999917</v>
      </c>
      <c r="QR69" s="1432">
        <f t="shared" si="467"/>
        <v>0.11111111111111115</v>
      </c>
      <c r="QS69" s="744">
        <f t="shared" si="468"/>
        <v>0.11111111111111115</v>
      </c>
      <c r="QT69" s="744">
        <f t="shared" si="469"/>
        <v>0.11111111111111115</v>
      </c>
      <c r="QU69" s="743">
        <f t="shared" si="470"/>
        <v>0.11111111111111115</v>
      </c>
      <c r="QV69" s="744">
        <f t="shared" si="471"/>
        <v>0.11111111111111115</v>
      </c>
      <c r="QW69" s="744">
        <f t="shared" si="472"/>
        <v>0.11111111111111115</v>
      </c>
      <c r="QX69" s="743">
        <f t="shared" si="473"/>
        <v>0.11111111111111115</v>
      </c>
      <c r="QY69" s="744">
        <f t="shared" si="474"/>
        <v>0.11111111111111115</v>
      </c>
      <c r="QZ69" s="745">
        <f t="shared" si="475"/>
        <v>0.11111111111111115</v>
      </c>
      <c r="RC69" s="744">
        <f t="shared" si="359"/>
        <v>5.5555555555555566E-2</v>
      </c>
      <c r="RD69" s="744">
        <f t="shared" si="360"/>
        <v>5.5555555555555566E-2</v>
      </c>
      <c r="RE69" s="744">
        <f t="shared" si="361"/>
        <v>5.5555555555555566E-2</v>
      </c>
      <c r="RF69" s="744">
        <f t="shared" si="362"/>
        <v>5.5555555555555566E-2</v>
      </c>
      <c r="RG69" s="744">
        <f t="shared" si="363"/>
        <v>5.5555555555555566E-2</v>
      </c>
      <c r="RH69" s="744">
        <f t="shared" si="364"/>
        <v>5.5555555555555566E-2</v>
      </c>
      <c r="RI69" s="744">
        <f t="shared" si="365"/>
        <v>5.5555555555555566E-2</v>
      </c>
      <c r="RJ69" s="744">
        <f t="shared" si="366"/>
        <v>5.5555555555555566E-2</v>
      </c>
      <c r="RK69" s="744">
        <f t="shared" si="367"/>
        <v>5.5555555555555566E-2</v>
      </c>
      <c r="RL69" s="1251"/>
      <c r="RM69" s="744">
        <f t="shared" si="368"/>
        <v>5.5555555555555566E-2</v>
      </c>
      <c r="RN69" s="744">
        <f t="shared" si="369"/>
        <v>5.5555555555555566E-2</v>
      </c>
      <c r="RO69" s="744">
        <f t="shared" si="370"/>
        <v>5.5555555555555566E-2</v>
      </c>
      <c r="RP69" s="744">
        <f t="shared" si="371"/>
        <v>5.5555555555555566E-2</v>
      </c>
      <c r="RQ69" s="744">
        <f t="shared" si="372"/>
        <v>5.5555555555555566E-2</v>
      </c>
      <c r="RR69" s="744">
        <f t="shared" si="373"/>
        <v>5.5555555555555566E-2</v>
      </c>
      <c r="RS69" s="744">
        <f t="shared" si="374"/>
        <v>5.5555555555555566E-2</v>
      </c>
      <c r="RT69" s="744">
        <f t="shared" si="375"/>
        <v>5.5555555555555566E-2</v>
      </c>
      <c r="RU69" s="744">
        <f t="shared" si="376"/>
        <v>5.5555555555555566E-2</v>
      </c>
      <c r="RV69" s="744"/>
      <c r="RW69" s="744">
        <f t="shared" si="377"/>
        <v>5.5555555555555566E-2</v>
      </c>
      <c r="RX69" s="744">
        <f t="shared" si="378"/>
        <v>5.5555555555555566E-2</v>
      </c>
      <c r="RY69" s="744">
        <f t="shared" si="379"/>
        <v>5.5555555555555566E-2</v>
      </c>
      <c r="RZ69" s="744">
        <f t="shared" si="380"/>
        <v>5.5555555555555566E-2</v>
      </c>
      <c r="SA69" s="744">
        <f t="shared" si="381"/>
        <v>5.5555555555555566E-2</v>
      </c>
      <c r="SB69" s="744">
        <f t="shared" si="382"/>
        <v>5.5555555555555566E-2</v>
      </c>
      <c r="SC69" s="744">
        <f t="shared" si="383"/>
        <v>5.5555555555555566E-2</v>
      </c>
      <c r="SD69" s="744">
        <f t="shared" si="384"/>
        <v>5.5555555555555566E-2</v>
      </c>
      <c r="SE69" s="744">
        <f t="shared" si="385"/>
        <v>5.5555555555555566E-2</v>
      </c>
      <c r="SF69" s="744"/>
      <c r="SG69" s="744">
        <f t="shared" si="386"/>
        <v>5.5555555555555566E-2</v>
      </c>
      <c r="SH69" s="744">
        <f t="shared" si="387"/>
        <v>5.5555555555555566E-2</v>
      </c>
      <c r="SI69" s="744">
        <f t="shared" si="388"/>
        <v>5.5555555555555566E-2</v>
      </c>
      <c r="SJ69" s="744">
        <f t="shared" si="389"/>
        <v>5.5555555555555566E-2</v>
      </c>
      <c r="SK69" s="744">
        <f t="shared" si="390"/>
        <v>5.5555555555555566E-2</v>
      </c>
      <c r="SL69" s="744">
        <f t="shared" si="391"/>
        <v>5.5555555555555566E-2</v>
      </c>
      <c r="SM69" s="744">
        <f t="shared" si="392"/>
        <v>5.5555555555555566E-2</v>
      </c>
      <c r="SN69" s="744">
        <f t="shared" si="393"/>
        <v>5.5555555555555566E-2</v>
      </c>
      <c r="SO69" s="744">
        <f t="shared" si="394"/>
        <v>5.5555555555555566E-2</v>
      </c>
      <c r="SP69" s="100"/>
      <c r="SQ69" s="114"/>
      <c r="SR69" s="806">
        <f t="shared" si="431"/>
        <v>0.49999999999999994</v>
      </c>
      <c r="SS69" s="806">
        <f t="shared" si="432"/>
        <v>0.49999999999999994</v>
      </c>
      <c r="ST69" s="806">
        <f t="shared" si="433"/>
        <v>0.49999999999999994</v>
      </c>
      <c r="SU69" s="806">
        <f t="shared" si="434"/>
        <v>0.49999999999999994</v>
      </c>
      <c r="SV69" s="806">
        <f t="shared" si="435"/>
        <v>0.49999999999999994</v>
      </c>
      <c r="SW69" s="806">
        <f t="shared" si="436"/>
        <v>0.49999999999999994</v>
      </c>
      <c r="SX69" s="806">
        <f t="shared" si="437"/>
        <v>0.49999999999999994</v>
      </c>
      <c r="SY69" s="806">
        <f t="shared" si="438"/>
        <v>0.49999999999999994</v>
      </c>
      <c r="SZ69" s="806">
        <f t="shared" si="439"/>
        <v>0.49999999999999994</v>
      </c>
      <c r="TA69" s="806"/>
      <c r="TB69" s="806">
        <f t="shared" si="440"/>
        <v>0.49999999999999994</v>
      </c>
      <c r="TC69" s="806">
        <f t="shared" si="441"/>
        <v>0.49999999999999994</v>
      </c>
      <c r="TD69" s="806">
        <f t="shared" si="442"/>
        <v>0.49999999999999994</v>
      </c>
      <c r="TE69" s="806">
        <f t="shared" si="443"/>
        <v>0.49999999999999994</v>
      </c>
      <c r="TF69" s="806">
        <f t="shared" si="444"/>
        <v>0.49999999999999994</v>
      </c>
      <c r="TG69" s="806">
        <f t="shared" si="445"/>
        <v>0.49999999999999994</v>
      </c>
      <c r="TH69" s="806">
        <f t="shared" si="446"/>
        <v>0.49999999999999994</v>
      </c>
      <c r="TI69" s="806">
        <f t="shared" si="447"/>
        <v>0.49999999999999994</v>
      </c>
      <c r="TJ69" s="806">
        <f t="shared" si="448"/>
        <v>0.49999999999999994</v>
      </c>
      <c r="TK69" s="806"/>
      <c r="TL69" s="806">
        <f t="shared" si="449"/>
        <v>0.49999999999999994</v>
      </c>
      <c r="TM69" s="806">
        <f t="shared" si="450"/>
        <v>0.49999999999999994</v>
      </c>
      <c r="TN69" s="806">
        <f t="shared" si="451"/>
        <v>0.49999999999999994</v>
      </c>
      <c r="TO69" s="806">
        <f t="shared" si="452"/>
        <v>0.49999999999999994</v>
      </c>
      <c r="TP69" s="806">
        <f t="shared" si="453"/>
        <v>0.49999999999999994</v>
      </c>
      <c r="TQ69" s="806">
        <f t="shared" si="454"/>
        <v>0.49999999999999994</v>
      </c>
      <c r="TR69" s="806">
        <f t="shared" si="455"/>
        <v>0.49999999999999994</v>
      </c>
      <c r="TS69" s="806">
        <f t="shared" si="456"/>
        <v>0.49999999999999994</v>
      </c>
      <c r="TT69" s="806">
        <f t="shared" si="457"/>
        <v>0.49999999999999994</v>
      </c>
      <c r="TU69" s="806"/>
      <c r="TV69" s="806">
        <f t="shared" si="458"/>
        <v>0.49999999999999994</v>
      </c>
      <c r="TW69" s="806">
        <f t="shared" si="459"/>
        <v>0.49999999999999994</v>
      </c>
      <c r="TX69" s="806">
        <f t="shared" si="460"/>
        <v>0.49999999999999994</v>
      </c>
      <c r="TY69" s="806">
        <f t="shared" si="461"/>
        <v>0.49999999999999994</v>
      </c>
      <c r="TZ69" s="806">
        <f t="shared" si="462"/>
        <v>0.49999999999999994</v>
      </c>
      <c r="UA69" s="806">
        <f t="shared" si="463"/>
        <v>0.49999999999999994</v>
      </c>
      <c r="UB69" s="806">
        <f t="shared" si="464"/>
        <v>0.49999999999999994</v>
      </c>
      <c r="UC69" s="806">
        <f t="shared" si="465"/>
        <v>0.49999999999999994</v>
      </c>
      <c r="UD69" s="1439">
        <f t="shared" si="466"/>
        <v>0.49999999999999994</v>
      </c>
    </row>
    <row r="70" spans="3:550" s="7" customFormat="1" x14ac:dyDescent="0.25">
      <c r="C70" s="21"/>
      <c r="D70" s="1308">
        <v>44045</v>
      </c>
      <c r="E70" s="233">
        <v>0</v>
      </c>
      <c r="F70" s="1392">
        <v>0</v>
      </c>
      <c r="G70" s="1392">
        <v>0</v>
      </c>
      <c r="H70" s="1392">
        <v>0</v>
      </c>
      <c r="I70" s="1392">
        <v>0</v>
      </c>
      <c r="J70" s="1392">
        <v>0</v>
      </c>
      <c r="K70" s="1392">
        <v>0</v>
      </c>
      <c r="L70" s="1392">
        <v>0</v>
      </c>
      <c r="M70" s="1392">
        <v>0</v>
      </c>
      <c r="N70" s="1392">
        <v>0</v>
      </c>
      <c r="O70" s="1392">
        <v>0</v>
      </c>
      <c r="P70" s="1392">
        <v>0</v>
      </c>
      <c r="Q70" s="1392">
        <v>0</v>
      </c>
      <c r="R70" s="1392">
        <v>0</v>
      </c>
      <c r="S70" s="1392">
        <v>0</v>
      </c>
      <c r="T70" s="1392">
        <v>0</v>
      </c>
      <c r="U70" s="1392">
        <v>0</v>
      </c>
      <c r="V70" s="1392">
        <v>0</v>
      </c>
      <c r="W70" s="1392">
        <v>0</v>
      </c>
      <c r="X70" s="1392">
        <v>0</v>
      </c>
      <c r="Y70" s="1392">
        <v>0</v>
      </c>
      <c r="Z70" s="1392">
        <v>0</v>
      </c>
      <c r="AA70" s="1392">
        <v>0</v>
      </c>
      <c r="AB70" s="1392">
        <v>0</v>
      </c>
      <c r="AC70" s="1392">
        <v>0</v>
      </c>
      <c r="AD70" s="1392">
        <v>0</v>
      </c>
      <c r="AE70" s="1392">
        <v>0</v>
      </c>
      <c r="AF70" s="1392">
        <v>0</v>
      </c>
      <c r="AG70" s="1392">
        <v>0</v>
      </c>
      <c r="AH70" s="1392">
        <v>0</v>
      </c>
      <c r="AI70" s="1392">
        <v>0</v>
      </c>
      <c r="AJ70" s="1392">
        <v>0</v>
      </c>
      <c r="AK70" s="1392">
        <v>0</v>
      </c>
      <c r="AL70" s="1392">
        <v>0</v>
      </c>
      <c r="AM70" s="1392">
        <v>0</v>
      </c>
      <c r="AN70" s="1392">
        <v>0</v>
      </c>
      <c r="AO70" s="1392">
        <v>0</v>
      </c>
      <c r="AP70" s="1392">
        <v>0</v>
      </c>
      <c r="AQ70" s="1392">
        <v>0</v>
      </c>
      <c r="AR70" s="1392">
        <v>0</v>
      </c>
      <c r="AS70" s="1392">
        <v>0</v>
      </c>
      <c r="AT70" s="1392">
        <v>0</v>
      </c>
      <c r="AU70" s="1392">
        <v>0</v>
      </c>
      <c r="AV70" s="1392">
        <v>0</v>
      </c>
      <c r="AW70" s="1392">
        <v>0</v>
      </c>
      <c r="AX70" s="1392">
        <v>0</v>
      </c>
      <c r="AY70" s="1392">
        <v>0</v>
      </c>
      <c r="AZ70" s="1392">
        <v>0</v>
      </c>
      <c r="BA70" s="1392">
        <v>0</v>
      </c>
      <c r="BB70" s="1392">
        <v>0</v>
      </c>
      <c r="BC70" s="1392">
        <v>0</v>
      </c>
      <c r="BD70" s="1392">
        <v>0</v>
      </c>
      <c r="BE70" s="1392">
        <v>0</v>
      </c>
      <c r="BF70" s="1392">
        <v>0</v>
      </c>
      <c r="BG70" s="1392">
        <v>0</v>
      </c>
      <c r="BH70" s="1392">
        <v>0</v>
      </c>
      <c r="BI70" s="1392">
        <v>0</v>
      </c>
      <c r="BJ70" s="1392">
        <v>0</v>
      </c>
      <c r="BK70" s="1392">
        <v>0</v>
      </c>
      <c r="BL70" s="1392">
        <v>0</v>
      </c>
      <c r="BM70" s="1392">
        <v>0</v>
      </c>
      <c r="BN70" s="1392">
        <v>0</v>
      </c>
      <c r="BO70" s="1392">
        <v>0</v>
      </c>
      <c r="BP70" s="1392">
        <v>0</v>
      </c>
      <c r="BQ70" s="1392">
        <v>0</v>
      </c>
      <c r="BR70" s="1392">
        <v>0</v>
      </c>
      <c r="BS70" s="1392">
        <v>0</v>
      </c>
      <c r="BT70" s="1392">
        <v>0</v>
      </c>
      <c r="BU70" s="1392">
        <v>0</v>
      </c>
      <c r="BV70" s="1392">
        <v>0</v>
      </c>
      <c r="BW70" s="1392">
        <v>0</v>
      </c>
      <c r="BX70" s="1392">
        <v>0</v>
      </c>
      <c r="BY70" s="1392">
        <v>0</v>
      </c>
      <c r="BZ70" s="1392">
        <v>0</v>
      </c>
      <c r="CA70" s="1392">
        <v>0</v>
      </c>
      <c r="CB70" s="1392">
        <v>0</v>
      </c>
      <c r="CC70" s="1392">
        <v>0</v>
      </c>
      <c r="CD70" s="1392">
        <v>0</v>
      </c>
      <c r="CE70" s="1392">
        <v>0</v>
      </c>
      <c r="CF70" s="1392">
        <v>0</v>
      </c>
      <c r="CG70" s="1392">
        <v>0</v>
      </c>
      <c r="CH70" s="1392">
        <v>0</v>
      </c>
      <c r="CI70" s="1392">
        <v>0</v>
      </c>
      <c r="CJ70" s="1392">
        <v>0</v>
      </c>
      <c r="CK70" s="1392">
        <v>0</v>
      </c>
      <c r="CL70" s="1392">
        <v>0</v>
      </c>
      <c r="CM70" s="1392">
        <v>0</v>
      </c>
      <c r="CN70" s="1392">
        <v>0</v>
      </c>
      <c r="CO70" s="1392">
        <v>0</v>
      </c>
      <c r="CP70" s="1392">
        <v>0</v>
      </c>
      <c r="CQ70" s="1392">
        <v>0</v>
      </c>
      <c r="CR70" s="1392">
        <v>0</v>
      </c>
      <c r="CS70" s="1392">
        <v>0</v>
      </c>
      <c r="CT70" s="1392">
        <v>0</v>
      </c>
      <c r="CU70" s="1392">
        <v>0</v>
      </c>
      <c r="CV70" s="1392">
        <v>0</v>
      </c>
      <c r="CW70" s="1392">
        <v>0</v>
      </c>
      <c r="CX70" s="1392">
        <v>0</v>
      </c>
      <c r="CY70" s="1392">
        <v>0</v>
      </c>
      <c r="CZ70" s="1392">
        <v>0</v>
      </c>
      <c r="DA70" s="1392">
        <v>0</v>
      </c>
      <c r="DB70" s="1392">
        <v>0</v>
      </c>
      <c r="DC70" s="1392">
        <v>0</v>
      </c>
      <c r="DD70" s="1392">
        <v>0</v>
      </c>
      <c r="DE70" s="1392">
        <v>0</v>
      </c>
      <c r="DF70" s="1392">
        <v>0</v>
      </c>
      <c r="DG70" s="1392">
        <v>0</v>
      </c>
      <c r="DH70" s="1392">
        <v>0</v>
      </c>
      <c r="DI70" s="1392">
        <v>0</v>
      </c>
      <c r="DJ70" s="1392">
        <v>0</v>
      </c>
      <c r="DK70" s="1392">
        <v>0</v>
      </c>
      <c r="DL70" s="1392">
        <v>0</v>
      </c>
      <c r="DM70" s="1392">
        <v>0</v>
      </c>
      <c r="DN70" s="1392">
        <v>0</v>
      </c>
      <c r="DO70" s="1392">
        <v>0</v>
      </c>
      <c r="DP70" s="1392">
        <v>0</v>
      </c>
      <c r="DQ70" s="1392">
        <v>0</v>
      </c>
      <c r="DR70" s="1392">
        <v>0</v>
      </c>
      <c r="DS70" s="1392">
        <v>0</v>
      </c>
      <c r="DT70" s="1392">
        <v>0</v>
      </c>
      <c r="DU70" s="1392">
        <v>0</v>
      </c>
      <c r="DV70" s="1392">
        <v>0</v>
      </c>
      <c r="DW70" s="1392">
        <v>0</v>
      </c>
      <c r="DX70" s="1392">
        <v>0</v>
      </c>
      <c r="DY70" s="1392">
        <v>0</v>
      </c>
      <c r="DZ70" s="1392">
        <v>0</v>
      </c>
      <c r="EA70" s="1392">
        <v>0</v>
      </c>
      <c r="EB70" s="1392">
        <v>0</v>
      </c>
      <c r="EC70" s="1392">
        <v>0</v>
      </c>
      <c r="ED70" s="1392">
        <v>0</v>
      </c>
      <c r="EE70" s="1392">
        <v>0</v>
      </c>
      <c r="EF70" s="1392">
        <v>0</v>
      </c>
      <c r="EG70" s="1392">
        <v>0</v>
      </c>
      <c r="EH70" s="1392">
        <v>0</v>
      </c>
      <c r="EI70" s="1392">
        <v>0</v>
      </c>
      <c r="EJ70" s="1392">
        <v>0</v>
      </c>
      <c r="EK70" s="1392">
        <v>0</v>
      </c>
      <c r="EL70" s="1392">
        <v>0</v>
      </c>
      <c r="EM70" s="1392">
        <v>0</v>
      </c>
      <c r="EN70" s="1392">
        <v>0</v>
      </c>
      <c r="EO70" s="1392">
        <v>0</v>
      </c>
      <c r="EP70" s="1392">
        <v>0</v>
      </c>
      <c r="EQ70" s="1392">
        <v>0</v>
      </c>
      <c r="ER70" s="1393">
        <v>0</v>
      </c>
      <c r="ES70" s="377"/>
      <c r="ET70" s="316">
        <f t="shared" si="335"/>
        <v>1</v>
      </c>
      <c r="EU70" s="1392">
        <f t="shared" si="20"/>
        <v>1</v>
      </c>
      <c r="EV70" s="1392">
        <f t="shared" si="21"/>
        <v>1</v>
      </c>
      <c r="EW70" s="1392">
        <f t="shared" si="22"/>
        <v>1</v>
      </c>
      <c r="EX70" s="1392">
        <f t="shared" si="23"/>
        <v>1</v>
      </c>
      <c r="EY70" s="1392">
        <f t="shared" si="24"/>
        <v>1</v>
      </c>
      <c r="EZ70" s="1392">
        <f t="shared" si="25"/>
        <v>1</v>
      </c>
      <c r="FA70" s="1392">
        <f t="shared" si="26"/>
        <v>1</v>
      </c>
      <c r="FB70" s="1392">
        <f t="shared" si="27"/>
        <v>1</v>
      </c>
      <c r="FC70" s="1392">
        <f t="shared" si="28"/>
        <v>1</v>
      </c>
      <c r="FD70" s="1392">
        <f t="shared" si="29"/>
        <v>1</v>
      </c>
      <c r="FE70" s="1392">
        <f t="shared" si="30"/>
        <v>1</v>
      </c>
      <c r="FF70" s="1392">
        <f t="shared" si="31"/>
        <v>1</v>
      </c>
      <c r="FG70" s="1392">
        <f t="shared" si="32"/>
        <v>1</v>
      </c>
      <c r="FH70" s="1392">
        <f t="shared" si="33"/>
        <v>1</v>
      </c>
      <c r="FI70" s="1392">
        <f t="shared" si="34"/>
        <v>1</v>
      </c>
      <c r="FJ70" s="1392">
        <f t="shared" si="35"/>
        <v>1</v>
      </c>
      <c r="FK70" s="1392">
        <f t="shared" si="36"/>
        <v>1</v>
      </c>
      <c r="FL70" s="1392">
        <f t="shared" si="37"/>
        <v>1</v>
      </c>
      <c r="FM70" s="1392">
        <f t="shared" si="38"/>
        <v>1</v>
      </c>
      <c r="FN70" s="1392">
        <f t="shared" si="39"/>
        <v>1</v>
      </c>
      <c r="FO70" s="1392">
        <f t="shared" si="40"/>
        <v>1</v>
      </c>
      <c r="FP70" s="1392">
        <f t="shared" si="41"/>
        <v>1</v>
      </c>
      <c r="FQ70" s="1392">
        <f t="shared" si="42"/>
        <v>1</v>
      </c>
      <c r="FR70" s="1392">
        <f t="shared" si="43"/>
        <v>1</v>
      </c>
      <c r="FS70" s="1392">
        <f t="shared" si="44"/>
        <v>1</v>
      </c>
      <c r="FT70" s="1392">
        <f t="shared" si="45"/>
        <v>1</v>
      </c>
      <c r="FU70" s="1392">
        <f t="shared" si="46"/>
        <v>1</v>
      </c>
      <c r="FV70" s="1392">
        <f t="shared" si="47"/>
        <v>1</v>
      </c>
      <c r="FW70" s="1392">
        <f t="shared" si="48"/>
        <v>1</v>
      </c>
      <c r="FX70" s="1392">
        <f t="shared" si="49"/>
        <v>1</v>
      </c>
      <c r="FY70" s="1392">
        <f t="shared" si="50"/>
        <v>1</v>
      </c>
      <c r="FZ70" s="1392">
        <f t="shared" si="51"/>
        <v>1</v>
      </c>
      <c r="GA70" s="1392">
        <f t="shared" si="52"/>
        <v>1</v>
      </c>
      <c r="GB70" s="1392">
        <f t="shared" si="53"/>
        <v>1</v>
      </c>
      <c r="GC70" s="1392">
        <f t="shared" si="54"/>
        <v>1</v>
      </c>
      <c r="GD70" s="1392">
        <f t="shared" si="55"/>
        <v>1</v>
      </c>
      <c r="GE70" s="1392">
        <f t="shared" si="56"/>
        <v>1</v>
      </c>
      <c r="GF70" s="1392">
        <f t="shared" si="57"/>
        <v>1</v>
      </c>
      <c r="GG70" s="1392">
        <f t="shared" si="58"/>
        <v>1</v>
      </c>
      <c r="GH70" s="1392">
        <f t="shared" si="59"/>
        <v>1</v>
      </c>
      <c r="GI70" s="1392">
        <f t="shared" si="60"/>
        <v>1</v>
      </c>
      <c r="GJ70" s="1392">
        <f t="shared" si="61"/>
        <v>1</v>
      </c>
      <c r="GK70" s="1392">
        <f t="shared" si="62"/>
        <v>1</v>
      </c>
      <c r="GL70" s="1392">
        <f t="shared" si="63"/>
        <v>1</v>
      </c>
      <c r="GM70" s="1392">
        <f t="shared" si="64"/>
        <v>1</v>
      </c>
      <c r="GN70" s="1392">
        <f t="shared" si="65"/>
        <v>1</v>
      </c>
      <c r="GO70" s="1392">
        <f t="shared" si="66"/>
        <v>1</v>
      </c>
      <c r="GP70" s="1392">
        <f t="shared" si="67"/>
        <v>1</v>
      </c>
      <c r="GQ70" s="1392">
        <f t="shared" si="68"/>
        <v>1</v>
      </c>
      <c r="GR70" s="1392">
        <f t="shared" si="69"/>
        <v>1</v>
      </c>
      <c r="GS70" s="1392">
        <f t="shared" si="70"/>
        <v>1</v>
      </c>
      <c r="GT70" s="1392">
        <f t="shared" si="71"/>
        <v>1</v>
      </c>
      <c r="GU70" s="1392">
        <f t="shared" si="72"/>
        <v>1</v>
      </c>
      <c r="GV70" s="1392">
        <f t="shared" si="73"/>
        <v>1</v>
      </c>
      <c r="GW70" s="1392">
        <f t="shared" si="74"/>
        <v>1</v>
      </c>
      <c r="GX70" s="1392">
        <f t="shared" si="75"/>
        <v>1</v>
      </c>
      <c r="GY70" s="1392">
        <f t="shared" si="76"/>
        <v>1</v>
      </c>
      <c r="GZ70" s="1392">
        <f t="shared" si="77"/>
        <v>1</v>
      </c>
      <c r="HA70" s="1392">
        <f t="shared" si="78"/>
        <v>1</v>
      </c>
      <c r="HB70" s="1392">
        <f t="shared" si="79"/>
        <v>1</v>
      </c>
      <c r="HC70" s="1392">
        <f t="shared" si="80"/>
        <v>1</v>
      </c>
      <c r="HD70" s="1392">
        <f t="shared" si="81"/>
        <v>1</v>
      </c>
      <c r="HE70" s="1392">
        <f t="shared" si="82"/>
        <v>1</v>
      </c>
      <c r="HF70" s="1392">
        <f t="shared" si="83"/>
        <v>1</v>
      </c>
      <c r="HG70" s="1392">
        <f t="shared" si="84"/>
        <v>1</v>
      </c>
      <c r="HH70" s="1392">
        <f t="shared" si="85"/>
        <v>1</v>
      </c>
      <c r="HI70" s="1392">
        <f t="shared" si="86"/>
        <v>1</v>
      </c>
      <c r="HJ70" s="1392">
        <f t="shared" si="87"/>
        <v>1</v>
      </c>
      <c r="HK70" s="1392">
        <f t="shared" si="88"/>
        <v>1</v>
      </c>
      <c r="HL70" s="1392">
        <f t="shared" si="89"/>
        <v>1</v>
      </c>
      <c r="HM70" s="1392">
        <f t="shared" si="90"/>
        <v>1</v>
      </c>
      <c r="HN70" s="1392">
        <f t="shared" si="91"/>
        <v>1</v>
      </c>
      <c r="HO70" s="1392">
        <f t="shared" si="92"/>
        <v>1</v>
      </c>
      <c r="HP70" s="1392">
        <f t="shared" si="93"/>
        <v>1</v>
      </c>
      <c r="HQ70" s="1392">
        <f t="shared" si="94"/>
        <v>1</v>
      </c>
      <c r="HR70" s="1392">
        <f t="shared" si="95"/>
        <v>1</v>
      </c>
      <c r="HS70" s="1392">
        <f t="shared" si="96"/>
        <v>1</v>
      </c>
      <c r="HT70" s="1392">
        <f t="shared" si="97"/>
        <v>1</v>
      </c>
      <c r="HU70" s="1392">
        <f t="shared" si="98"/>
        <v>1</v>
      </c>
      <c r="HV70" s="1392">
        <f t="shared" si="99"/>
        <v>1</v>
      </c>
      <c r="HW70" s="1392">
        <f t="shared" si="100"/>
        <v>1</v>
      </c>
      <c r="HX70" s="1392">
        <f t="shared" si="101"/>
        <v>1</v>
      </c>
      <c r="HY70" s="1392">
        <f t="shared" si="102"/>
        <v>1</v>
      </c>
      <c r="HZ70" s="1392">
        <f t="shared" si="103"/>
        <v>1</v>
      </c>
      <c r="IA70" s="1392">
        <f t="shared" si="104"/>
        <v>1</v>
      </c>
      <c r="IB70" s="1392">
        <f t="shared" si="105"/>
        <v>1</v>
      </c>
      <c r="IC70" s="1392">
        <f t="shared" si="106"/>
        <v>1</v>
      </c>
      <c r="ID70" s="1392">
        <f t="shared" si="107"/>
        <v>1</v>
      </c>
      <c r="IE70" s="1392">
        <f t="shared" si="108"/>
        <v>1</v>
      </c>
      <c r="IF70" s="1392">
        <f t="shared" si="109"/>
        <v>1</v>
      </c>
      <c r="IG70" s="1392">
        <f t="shared" si="110"/>
        <v>1</v>
      </c>
      <c r="IH70" s="1392">
        <f t="shared" si="111"/>
        <v>1</v>
      </c>
      <c r="II70" s="1392">
        <f t="shared" si="112"/>
        <v>1</v>
      </c>
      <c r="IJ70" s="1392">
        <f t="shared" si="113"/>
        <v>1</v>
      </c>
      <c r="IK70" s="1392">
        <f t="shared" si="114"/>
        <v>1</v>
      </c>
      <c r="IL70" s="1392">
        <f t="shared" si="115"/>
        <v>1</v>
      </c>
      <c r="IM70" s="1392">
        <f t="shared" si="116"/>
        <v>1</v>
      </c>
      <c r="IN70" s="1392">
        <f t="shared" si="117"/>
        <v>1</v>
      </c>
      <c r="IO70" s="1392">
        <f t="shared" si="118"/>
        <v>1</v>
      </c>
      <c r="IP70" s="1392">
        <f t="shared" si="119"/>
        <v>1</v>
      </c>
      <c r="IQ70" s="1392">
        <f t="shared" si="120"/>
        <v>1</v>
      </c>
      <c r="IR70" s="1392">
        <f t="shared" si="121"/>
        <v>1</v>
      </c>
      <c r="IS70" s="1392">
        <f t="shared" si="122"/>
        <v>1</v>
      </c>
      <c r="IT70" s="1392">
        <f t="shared" si="123"/>
        <v>1</v>
      </c>
      <c r="IU70" s="1392">
        <f t="shared" si="124"/>
        <v>1</v>
      </c>
      <c r="IV70" s="1392">
        <f t="shared" si="125"/>
        <v>1</v>
      </c>
      <c r="IW70" s="1392">
        <f t="shared" si="126"/>
        <v>1</v>
      </c>
      <c r="IX70" s="1392">
        <f t="shared" si="127"/>
        <v>1</v>
      </c>
      <c r="IY70" s="1392">
        <f t="shared" si="128"/>
        <v>1</v>
      </c>
      <c r="IZ70" s="1392">
        <f t="shared" si="129"/>
        <v>1</v>
      </c>
      <c r="JA70" s="1392">
        <f t="shared" si="130"/>
        <v>1</v>
      </c>
      <c r="JB70" s="1392">
        <f t="shared" si="131"/>
        <v>1</v>
      </c>
      <c r="JC70" s="1392">
        <f t="shared" si="132"/>
        <v>1</v>
      </c>
      <c r="JD70" s="1392">
        <f t="shared" si="133"/>
        <v>1</v>
      </c>
      <c r="JE70" s="1392">
        <f t="shared" si="134"/>
        <v>1</v>
      </c>
      <c r="JF70" s="1392">
        <f t="shared" si="135"/>
        <v>1</v>
      </c>
      <c r="JG70" s="1392">
        <f t="shared" si="136"/>
        <v>1</v>
      </c>
      <c r="JH70" s="1392">
        <f t="shared" si="137"/>
        <v>1</v>
      </c>
      <c r="JI70" s="1392">
        <f t="shared" si="138"/>
        <v>1</v>
      </c>
      <c r="JJ70" s="1392">
        <f t="shared" si="139"/>
        <v>1</v>
      </c>
      <c r="JK70" s="1392">
        <f t="shared" si="140"/>
        <v>1</v>
      </c>
      <c r="JL70" s="1392">
        <f t="shared" si="141"/>
        <v>1</v>
      </c>
      <c r="JM70" s="1392">
        <f t="shared" si="142"/>
        <v>1</v>
      </c>
      <c r="JN70" s="1392">
        <f t="shared" si="143"/>
        <v>1</v>
      </c>
      <c r="JO70" s="1392">
        <f t="shared" si="144"/>
        <v>1</v>
      </c>
      <c r="JP70" s="1392">
        <f t="shared" si="145"/>
        <v>1</v>
      </c>
      <c r="JQ70" s="1392">
        <f t="shared" si="146"/>
        <v>1</v>
      </c>
      <c r="JR70" s="1392">
        <f t="shared" si="147"/>
        <v>1</v>
      </c>
      <c r="JS70" s="1392">
        <f t="shared" si="148"/>
        <v>1</v>
      </c>
      <c r="JT70" s="1392">
        <f t="shared" si="149"/>
        <v>1</v>
      </c>
      <c r="JU70" s="1392">
        <f t="shared" si="150"/>
        <v>1</v>
      </c>
      <c r="JV70" s="1392">
        <f t="shared" si="151"/>
        <v>1</v>
      </c>
      <c r="JW70" s="1392">
        <f t="shared" si="152"/>
        <v>1</v>
      </c>
      <c r="JX70" s="1392">
        <f t="shared" si="153"/>
        <v>1</v>
      </c>
      <c r="JY70" s="1392">
        <f t="shared" si="154"/>
        <v>1</v>
      </c>
      <c r="JZ70" s="1392">
        <f t="shared" si="155"/>
        <v>1</v>
      </c>
      <c r="KA70" s="1392">
        <f t="shared" si="156"/>
        <v>1</v>
      </c>
      <c r="KB70" s="1392">
        <f t="shared" si="157"/>
        <v>1</v>
      </c>
      <c r="KC70" s="1392">
        <f t="shared" si="158"/>
        <v>1</v>
      </c>
      <c r="KD70" s="1392">
        <f t="shared" si="159"/>
        <v>1</v>
      </c>
      <c r="KE70" s="1392">
        <f t="shared" si="160"/>
        <v>1</v>
      </c>
      <c r="KF70" s="1392">
        <f t="shared" si="161"/>
        <v>1</v>
      </c>
      <c r="KG70" s="1399">
        <f t="shared" si="162"/>
        <v>1</v>
      </c>
      <c r="KH70" s="1406">
        <f t="shared" si="163"/>
        <v>144</v>
      </c>
      <c r="KI70" s="377"/>
      <c r="KJ70" s="1444">
        <f t="shared" si="164"/>
        <v>19.879253198304003</v>
      </c>
      <c r="KK70" s="49">
        <f t="shared" si="165"/>
        <v>0</v>
      </c>
      <c r="KL70" s="377"/>
      <c r="KM70" s="908">
        <f t="shared" si="166"/>
        <v>6.9444444444444441E-3</v>
      </c>
      <c r="KN70" s="1411">
        <f t="shared" si="167"/>
        <v>6.9444444444444441E-3</v>
      </c>
      <c r="KO70" s="1411">
        <f t="shared" si="168"/>
        <v>6.9444444444444441E-3</v>
      </c>
      <c r="KP70" s="1411">
        <f t="shared" si="169"/>
        <v>6.9444444444444441E-3</v>
      </c>
      <c r="KQ70" s="1411">
        <f t="shared" si="170"/>
        <v>6.9444444444444441E-3</v>
      </c>
      <c r="KR70" s="1411">
        <f t="shared" si="171"/>
        <v>6.9444444444444441E-3</v>
      </c>
      <c r="KS70" s="1411">
        <f t="shared" si="172"/>
        <v>6.9444444444444441E-3</v>
      </c>
      <c r="KT70" s="1411">
        <f t="shared" si="173"/>
        <v>6.9444444444444441E-3</v>
      </c>
      <c r="KU70" s="1411">
        <f t="shared" si="174"/>
        <v>6.9444444444444441E-3</v>
      </c>
      <c r="KV70" s="1411">
        <f t="shared" si="175"/>
        <v>6.9444444444444441E-3</v>
      </c>
      <c r="KW70" s="1411">
        <f t="shared" si="176"/>
        <v>6.9444444444444441E-3</v>
      </c>
      <c r="KX70" s="1411">
        <f t="shared" si="177"/>
        <v>6.9444444444444441E-3</v>
      </c>
      <c r="KY70" s="1411">
        <f t="shared" si="178"/>
        <v>6.9444444444444441E-3</v>
      </c>
      <c r="KZ70" s="1411">
        <f t="shared" si="179"/>
        <v>6.9444444444444441E-3</v>
      </c>
      <c r="LA70" s="1411">
        <f t="shared" si="180"/>
        <v>6.9444444444444441E-3</v>
      </c>
      <c r="LB70" s="1411">
        <f t="shared" si="181"/>
        <v>6.9444444444444441E-3</v>
      </c>
      <c r="LC70" s="1411">
        <f t="shared" si="182"/>
        <v>6.9444444444444441E-3</v>
      </c>
      <c r="LD70" s="1411">
        <f t="shared" si="183"/>
        <v>6.9444444444444441E-3</v>
      </c>
      <c r="LE70" s="1411">
        <f t="shared" si="184"/>
        <v>6.9444444444444441E-3</v>
      </c>
      <c r="LF70" s="1411">
        <f t="shared" si="185"/>
        <v>6.9444444444444441E-3</v>
      </c>
      <c r="LG70" s="1411">
        <f t="shared" si="186"/>
        <v>6.9444444444444441E-3</v>
      </c>
      <c r="LH70" s="1411">
        <f t="shared" si="187"/>
        <v>6.9444444444444441E-3</v>
      </c>
      <c r="LI70" s="1411">
        <f t="shared" si="188"/>
        <v>6.9444444444444441E-3</v>
      </c>
      <c r="LJ70" s="1411">
        <f t="shared" si="189"/>
        <v>6.9444444444444441E-3</v>
      </c>
      <c r="LK70" s="1411">
        <f t="shared" si="190"/>
        <v>6.9444444444444441E-3</v>
      </c>
      <c r="LL70" s="1411">
        <f t="shared" si="191"/>
        <v>6.9444444444444441E-3</v>
      </c>
      <c r="LM70" s="1411">
        <f t="shared" si="192"/>
        <v>6.9444444444444441E-3</v>
      </c>
      <c r="LN70" s="1411">
        <f t="shared" si="193"/>
        <v>6.9444444444444441E-3</v>
      </c>
      <c r="LO70" s="1411">
        <f t="shared" si="194"/>
        <v>6.9444444444444441E-3</v>
      </c>
      <c r="LP70" s="1411">
        <f t="shared" si="195"/>
        <v>6.9444444444444441E-3</v>
      </c>
      <c r="LQ70" s="1411">
        <f t="shared" si="196"/>
        <v>6.9444444444444441E-3</v>
      </c>
      <c r="LR70" s="1411">
        <f t="shared" si="197"/>
        <v>6.9444444444444441E-3</v>
      </c>
      <c r="LS70" s="1411">
        <f t="shared" si="198"/>
        <v>6.9444444444444441E-3</v>
      </c>
      <c r="LT70" s="1411">
        <f t="shared" si="199"/>
        <v>6.9444444444444441E-3</v>
      </c>
      <c r="LU70" s="1411">
        <f t="shared" si="200"/>
        <v>6.9444444444444441E-3</v>
      </c>
      <c r="LV70" s="1411">
        <f t="shared" si="201"/>
        <v>6.9444444444444441E-3</v>
      </c>
      <c r="LW70" s="1411">
        <f t="shared" si="202"/>
        <v>6.9444444444444441E-3</v>
      </c>
      <c r="LX70" s="1411">
        <f t="shared" si="203"/>
        <v>6.9444444444444441E-3</v>
      </c>
      <c r="LY70" s="1411">
        <f t="shared" si="204"/>
        <v>6.9444444444444441E-3</v>
      </c>
      <c r="LZ70" s="1411">
        <f t="shared" si="205"/>
        <v>6.9444444444444441E-3</v>
      </c>
      <c r="MA70" s="1411">
        <f t="shared" si="206"/>
        <v>6.9444444444444441E-3</v>
      </c>
      <c r="MB70" s="1411">
        <f t="shared" si="207"/>
        <v>6.9444444444444441E-3</v>
      </c>
      <c r="MC70" s="1411">
        <f t="shared" si="208"/>
        <v>6.9444444444444441E-3</v>
      </c>
      <c r="MD70" s="1411">
        <f t="shared" si="209"/>
        <v>6.9444444444444441E-3</v>
      </c>
      <c r="ME70" s="1411">
        <f t="shared" si="210"/>
        <v>6.9444444444444441E-3</v>
      </c>
      <c r="MF70" s="1411">
        <f t="shared" si="211"/>
        <v>6.9444444444444441E-3</v>
      </c>
      <c r="MG70" s="1411">
        <f t="shared" si="212"/>
        <v>6.9444444444444441E-3</v>
      </c>
      <c r="MH70" s="1411">
        <f t="shared" si="213"/>
        <v>6.9444444444444441E-3</v>
      </c>
      <c r="MI70" s="1411">
        <f t="shared" si="214"/>
        <v>6.9444444444444441E-3</v>
      </c>
      <c r="MJ70" s="1411">
        <f t="shared" si="215"/>
        <v>6.9444444444444441E-3</v>
      </c>
      <c r="MK70" s="1411">
        <f t="shared" si="216"/>
        <v>6.9444444444444441E-3</v>
      </c>
      <c r="ML70" s="1411">
        <f t="shared" si="217"/>
        <v>6.9444444444444441E-3</v>
      </c>
      <c r="MM70" s="1411">
        <f t="shared" si="218"/>
        <v>6.9444444444444441E-3</v>
      </c>
      <c r="MN70" s="1411">
        <f t="shared" si="219"/>
        <v>6.9444444444444441E-3</v>
      </c>
      <c r="MO70" s="1411">
        <f t="shared" si="220"/>
        <v>6.9444444444444441E-3</v>
      </c>
      <c r="MP70" s="1411">
        <f t="shared" si="221"/>
        <v>6.9444444444444441E-3</v>
      </c>
      <c r="MQ70" s="1411">
        <f t="shared" si="222"/>
        <v>6.9444444444444441E-3</v>
      </c>
      <c r="MR70" s="1411">
        <f t="shared" si="223"/>
        <v>6.9444444444444441E-3</v>
      </c>
      <c r="MS70" s="1411">
        <f t="shared" si="224"/>
        <v>6.9444444444444441E-3</v>
      </c>
      <c r="MT70" s="1411">
        <f t="shared" si="225"/>
        <v>6.9444444444444441E-3</v>
      </c>
      <c r="MU70" s="1411">
        <f t="shared" si="226"/>
        <v>6.9444444444444441E-3</v>
      </c>
      <c r="MV70" s="1411">
        <f t="shared" si="227"/>
        <v>6.9444444444444441E-3</v>
      </c>
      <c r="MW70" s="1411">
        <f t="shared" si="228"/>
        <v>6.9444444444444441E-3</v>
      </c>
      <c r="MX70" s="1411">
        <f t="shared" si="229"/>
        <v>6.9444444444444441E-3</v>
      </c>
      <c r="MY70" s="1411">
        <f t="shared" si="230"/>
        <v>6.9444444444444441E-3</v>
      </c>
      <c r="MZ70" s="1411">
        <f t="shared" si="231"/>
        <v>6.9444444444444441E-3</v>
      </c>
      <c r="NA70" s="1411">
        <f t="shared" si="232"/>
        <v>6.9444444444444441E-3</v>
      </c>
      <c r="NB70" s="1411">
        <f t="shared" si="233"/>
        <v>6.9444444444444441E-3</v>
      </c>
      <c r="NC70" s="1411">
        <f t="shared" si="234"/>
        <v>6.9444444444444441E-3</v>
      </c>
      <c r="ND70" s="1411">
        <f t="shared" si="235"/>
        <v>6.9444444444444441E-3</v>
      </c>
      <c r="NE70" s="1411">
        <f t="shared" si="236"/>
        <v>6.9444444444444441E-3</v>
      </c>
      <c r="NF70" s="1411">
        <f t="shared" si="237"/>
        <v>6.9444444444444441E-3</v>
      </c>
      <c r="NG70" s="1411">
        <f t="shared" si="238"/>
        <v>6.9444444444444441E-3</v>
      </c>
      <c r="NH70" s="1411">
        <f t="shared" si="239"/>
        <v>6.9444444444444441E-3</v>
      </c>
      <c r="NI70" s="1411">
        <f t="shared" si="240"/>
        <v>6.9444444444444441E-3</v>
      </c>
      <c r="NJ70" s="1411">
        <f t="shared" si="241"/>
        <v>6.9444444444444441E-3</v>
      </c>
      <c r="NK70" s="1411">
        <f t="shared" si="242"/>
        <v>6.9444444444444441E-3</v>
      </c>
      <c r="NL70" s="1411">
        <f t="shared" si="243"/>
        <v>6.9444444444444441E-3</v>
      </c>
      <c r="NM70" s="1411">
        <f t="shared" si="244"/>
        <v>6.9444444444444441E-3</v>
      </c>
      <c r="NN70" s="1411">
        <f t="shared" si="245"/>
        <v>6.9444444444444441E-3</v>
      </c>
      <c r="NO70" s="1411">
        <f t="shared" si="246"/>
        <v>6.9444444444444441E-3</v>
      </c>
      <c r="NP70" s="1411">
        <f t="shared" si="247"/>
        <v>6.9444444444444441E-3</v>
      </c>
      <c r="NQ70" s="1411">
        <f t="shared" si="248"/>
        <v>6.9444444444444441E-3</v>
      </c>
      <c r="NR70" s="1411">
        <f t="shared" si="249"/>
        <v>6.9444444444444441E-3</v>
      </c>
      <c r="NS70" s="1411">
        <f t="shared" si="250"/>
        <v>6.9444444444444441E-3</v>
      </c>
      <c r="NT70" s="1411">
        <f t="shared" si="251"/>
        <v>6.9444444444444441E-3</v>
      </c>
      <c r="NU70" s="1411">
        <f t="shared" si="252"/>
        <v>6.9444444444444441E-3</v>
      </c>
      <c r="NV70" s="1411">
        <f t="shared" si="253"/>
        <v>6.9444444444444441E-3</v>
      </c>
      <c r="NW70" s="1411">
        <f t="shared" si="254"/>
        <v>6.9444444444444441E-3</v>
      </c>
      <c r="NX70" s="1411">
        <f t="shared" si="255"/>
        <v>6.9444444444444441E-3</v>
      </c>
      <c r="NY70" s="1411">
        <f t="shared" si="256"/>
        <v>6.9444444444444441E-3</v>
      </c>
      <c r="NZ70" s="1411">
        <f t="shared" si="257"/>
        <v>6.9444444444444441E-3</v>
      </c>
      <c r="OA70" s="1411">
        <f t="shared" si="258"/>
        <v>6.9444444444444441E-3</v>
      </c>
      <c r="OB70" s="1411">
        <f t="shared" si="259"/>
        <v>6.9444444444444441E-3</v>
      </c>
      <c r="OC70" s="1411">
        <f t="shared" si="260"/>
        <v>6.9444444444444441E-3</v>
      </c>
      <c r="OD70" s="1411">
        <f t="shared" si="261"/>
        <v>6.9444444444444441E-3</v>
      </c>
      <c r="OE70" s="1411">
        <f t="shared" si="262"/>
        <v>6.9444444444444441E-3</v>
      </c>
      <c r="OF70" s="1411">
        <f t="shared" si="263"/>
        <v>6.9444444444444441E-3</v>
      </c>
      <c r="OG70" s="1411">
        <f t="shared" si="264"/>
        <v>6.9444444444444441E-3</v>
      </c>
      <c r="OH70" s="1411">
        <f t="shared" si="265"/>
        <v>6.9444444444444441E-3</v>
      </c>
      <c r="OI70" s="1411">
        <f t="shared" si="266"/>
        <v>6.9444444444444441E-3</v>
      </c>
      <c r="OJ70" s="1411">
        <f t="shared" si="267"/>
        <v>6.9444444444444441E-3</v>
      </c>
      <c r="OK70" s="1411">
        <f t="shared" si="268"/>
        <v>6.9444444444444441E-3</v>
      </c>
      <c r="OL70" s="1411">
        <f t="shared" si="269"/>
        <v>6.9444444444444441E-3</v>
      </c>
      <c r="OM70" s="1411">
        <f t="shared" si="270"/>
        <v>6.9444444444444441E-3</v>
      </c>
      <c r="ON70" s="1411">
        <f t="shared" si="271"/>
        <v>6.9444444444444441E-3</v>
      </c>
      <c r="OO70" s="1411">
        <f t="shared" si="272"/>
        <v>6.9444444444444441E-3</v>
      </c>
      <c r="OP70" s="1411">
        <f t="shared" si="273"/>
        <v>6.9444444444444441E-3</v>
      </c>
      <c r="OQ70" s="1411">
        <f t="shared" si="274"/>
        <v>6.9444444444444441E-3</v>
      </c>
      <c r="OR70" s="1411">
        <f t="shared" si="275"/>
        <v>6.9444444444444441E-3</v>
      </c>
      <c r="OS70" s="1411">
        <f t="shared" si="276"/>
        <v>6.9444444444444441E-3</v>
      </c>
      <c r="OT70" s="1411">
        <f t="shared" si="277"/>
        <v>6.9444444444444441E-3</v>
      </c>
      <c r="OU70" s="1411">
        <f t="shared" si="278"/>
        <v>6.9444444444444441E-3</v>
      </c>
      <c r="OV70" s="1411">
        <f t="shared" si="279"/>
        <v>6.9444444444444441E-3</v>
      </c>
      <c r="OW70" s="1411">
        <f t="shared" si="280"/>
        <v>6.9444444444444441E-3</v>
      </c>
      <c r="OX70" s="1411">
        <f t="shared" si="281"/>
        <v>6.9444444444444441E-3</v>
      </c>
      <c r="OY70" s="1411">
        <f t="shared" si="282"/>
        <v>6.9444444444444441E-3</v>
      </c>
      <c r="OZ70" s="1411">
        <f t="shared" si="283"/>
        <v>6.9444444444444441E-3</v>
      </c>
      <c r="PA70" s="1411">
        <f t="shared" si="284"/>
        <v>6.9444444444444441E-3</v>
      </c>
      <c r="PB70" s="1411">
        <f t="shared" si="285"/>
        <v>6.9444444444444441E-3</v>
      </c>
      <c r="PC70" s="1411">
        <f t="shared" si="286"/>
        <v>6.9444444444444441E-3</v>
      </c>
      <c r="PD70" s="1411">
        <f t="shared" si="287"/>
        <v>6.9444444444444441E-3</v>
      </c>
      <c r="PE70" s="1411">
        <f t="shared" si="288"/>
        <v>6.9444444444444441E-3</v>
      </c>
      <c r="PF70" s="1411">
        <f t="shared" si="289"/>
        <v>6.9444444444444441E-3</v>
      </c>
      <c r="PG70" s="1411">
        <f t="shared" si="290"/>
        <v>6.9444444444444441E-3</v>
      </c>
      <c r="PH70" s="1411">
        <f t="shared" si="291"/>
        <v>6.9444444444444441E-3</v>
      </c>
      <c r="PI70" s="1411">
        <f t="shared" si="292"/>
        <v>6.9444444444444441E-3</v>
      </c>
      <c r="PJ70" s="1411">
        <f t="shared" si="293"/>
        <v>6.9444444444444441E-3</v>
      </c>
      <c r="PK70" s="1411">
        <f t="shared" si="294"/>
        <v>6.9444444444444441E-3</v>
      </c>
      <c r="PL70" s="1411">
        <f t="shared" si="295"/>
        <v>6.9444444444444441E-3</v>
      </c>
      <c r="PM70" s="1411">
        <f t="shared" si="296"/>
        <v>6.9444444444444441E-3</v>
      </c>
      <c r="PN70" s="1411">
        <f t="shared" si="297"/>
        <v>6.9444444444444441E-3</v>
      </c>
      <c r="PO70" s="1411">
        <f t="shared" si="298"/>
        <v>6.9444444444444441E-3</v>
      </c>
      <c r="PP70" s="1411">
        <f t="shared" si="299"/>
        <v>6.9444444444444441E-3</v>
      </c>
      <c r="PQ70" s="1411">
        <f t="shared" si="300"/>
        <v>6.9444444444444441E-3</v>
      </c>
      <c r="PR70" s="1411">
        <f t="shared" si="301"/>
        <v>6.9444444444444441E-3</v>
      </c>
      <c r="PS70" s="1411">
        <f t="shared" si="302"/>
        <v>6.9444444444444441E-3</v>
      </c>
      <c r="PT70" s="1411">
        <f t="shared" si="303"/>
        <v>6.9444444444444441E-3</v>
      </c>
      <c r="PU70" s="1411">
        <f t="shared" si="304"/>
        <v>6.9444444444444441E-3</v>
      </c>
      <c r="PV70" s="1411">
        <f t="shared" si="305"/>
        <v>6.9444444444444441E-3</v>
      </c>
      <c r="PW70" s="1411">
        <f t="shared" si="306"/>
        <v>6.9444444444444441E-3</v>
      </c>
      <c r="PX70" s="1411">
        <f t="shared" si="307"/>
        <v>6.9444444444444441E-3</v>
      </c>
      <c r="PY70" s="1411">
        <f t="shared" si="308"/>
        <v>6.9444444444444441E-3</v>
      </c>
      <c r="PZ70" s="1412">
        <f t="shared" si="309"/>
        <v>6.9444444444444441E-3</v>
      </c>
      <c r="QB70" s="33" t="s">
        <v>1072</v>
      </c>
      <c r="QC70" s="1432">
        <f t="shared" si="336"/>
        <v>0.33333333333333309</v>
      </c>
      <c r="QD70" s="744">
        <f t="shared" si="337"/>
        <v>0.33333333333333309</v>
      </c>
      <c r="QE70" s="1068">
        <f t="shared" si="338"/>
        <v>0.33333333333333309</v>
      </c>
      <c r="QF70" s="744">
        <f t="shared" si="339"/>
        <v>0.33333333333333309</v>
      </c>
      <c r="QG70" s="744">
        <f t="shared" si="340"/>
        <v>0.33333333333333309</v>
      </c>
      <c r="QH70" s="1068">
        <f t="shared" si="341"/>
        <v>0.33333333333333309</v>
      </c>
      <c r="QI70" s="744">
        <f t="shared" si="342"/>
        <v>0.49999999999999917</v>
      </c>
      <c r="QJ70" s="1068">
        <f t="shared" si="343"/>
        <v>0.49999999999999917</v>
      </c>
      <c r="QK70" s="744">
        <f t="shared" si="344"/>
        <v>0.49999999999999917</v>
      </c>
      <c r="QL70" s="1068">
        <f t="shared" si="345"/>
        <v>0.49999999999999917</v>
      </c>
      <c r="QM70" s="744">
        <f t="shared" si="346"/>
        <v>0.49999999999999917</v>
      </c>
      <c r="QN70" s="1068">
        <f t="shared" si="347"/>
        <v>0.49999999999999917</v>
      </c>
      <c r="QO70" s="744">
        <f t="shared" si="348"/>
        <v>0.49999999999999917</v>
      </c>
      <c r="QP70" s="1068">
        <f t="shared" si="349"/>
        <v>0.49999999999999917</v>
      </c>
      <c r="QR70" s="1432">
        <f t="shared" si="467"/>
        <v>0.11111111111111115</v>
      </c>
      <c r="QS70" s="744">
        <f t="shared" si="468"/>
        <v>0.11111111111111115</v>
      </c>
      <c r="QT70" s="744">
        <f t="shared" si="469"/>
        <v>0.11111111111111115</v>
      </c>
      <c r="QU70" s="743">
        <f t="shared" si="470"/>
        <v>0.11111111111111115</v>
      </c>
      <c r="QV70" s="744">
        <f t="shared" si="471"/>
        <v>0.11111111111111115</v>
      </c>
      <c r="QW70" s="744">
        <f t="shared" si="472"/>
        <v>0.11111111111111115</v>
      </c>
      <c r="QX70" s="743">
        <f t="shared" si="473"/>
        <v>0.11111111111111115</v>
      </c>
      <c r="QY70" s="744">
        <f t="shared" si="474"/>
        <v>0.11111111111111115</v>
      </c>
      <c r="QZ70" s="745">
        <f t="shared" si="475"/>
        <v>0.11111111111111115</v>
      </c>
      <c r="RC70" s="744">
        <f t="shared" si="359"/>
        <v>5.5555555555555566E-2</v>
      </c>
      <c r="RD70" s="744">
        <f t="shared" si="360"/>
        <v>5.5555555555555566E-2</v>
      </c>
      <c r="RE70" s="744">
        <f t="shared" si="361"/>
        <v>5.5555555555555566E-2</v>
      </c>
      <c r="RF70" s="744">
        <f t="shared" si="362"/>
        <v>5.5555555555555566E-2</v>
      </c>
      <c r="RG70" s="744">
        <f t="shared" si="363"/>
        <v>5.5555555555555566E-2</v>
      </c>
      <c r="RH70" s="744">
        <f t="shared" si="364"/>
        <v>5.5555555555555566E-2</v>
      </c>
      <c r="RI70" s="744">
        <f t="shared" si="365"/>
        <v>5.5555555555555566E-2</v>
      </c>
      <c r="RJ70" s="744">
        <f t="shared" si="366"/>
        <v>5.5555555555555566E-2</v>
      </c>
      <c r="RK70" s="744">
        <f t="shared" si="367"/>
        <v>5.5555555555555566E-2</v>
      </c>
      <c r="RL70" s="1251"/>
      <c r="RM70" s="744">
        <f t="shared" si="368"/>
        <v>5.5555555555555566E-2</v>
      </c>
      <c r="RN70" s="744">
        <f t="shared" si="369"/>
        <v>5.5555555555555566E-2</v>
      </c>
      <c r="RO70" s="744">
        <f t="shared" si="370"/>
        <v>5.5555555555555566E-2</v>
      </c>
      <c r="RP70" s="744">
        <f t="shared" si="371"/>
        <v>5.5555555555555566E-2</v>
      </c>
      <c r="RQ70" s="744">
        <f t="shared" si="372"/>
        <v>5.5555555555555566E-2</v>
      </c>
      <c r="RR70" s="744">
        <f t="shared" si="373"/>
        <v>5.5555555555555566E-2</v>
      </c>
      <c r="RS70" s="744">
        <f t="shared" si="374"/>
        <v>5.5555555555555566E-2</v>
      </c>
      <c r="RT70" s="744">
        <f t="shared" si="375"/>
        <v>5.5555555555555566E-2</v>
      </c>
      <c r="RU70" s="744">
        <f t="shared" si="376"/>
        <v>5.5555555555555566E-2</v>
      </c>
      <c r="RV70" s="744"/>
      <c r="RW70" s="744">
        <f t="shared" si="377"/>
        <v>5.5555555555555566E-2</v>
      </c>
      <c r="RX70" s="744">
        <f t="shared" si="378"/>
        <v>5.5555555555555566E-2</v>
      </c>
      <c r="RY70" s="744">
        <f t="shared" si="379"/>
        <v>5.5555555555555566E-2</v>
      </c>
      <c r="RZ70" s="744">
        <f t="shared" si="380"/>
        <v>5.5555555555555566E-2</v>
      </c>
      <c r="SA70" s="744">
        <f t="shared" si="381"/>
        <v>5.5555555555555566E-2</v>
      </c>
      <c r="SB70" s="744">
        <f t="shared" si="382"/>
        <v>5.5555555555555566E-2</v>
      </c>
      <c r="SC70" s="744">
        <f t="shared" si="383"/>
        <v>5.5555555555555566E-2</v>
      </c>
      <c r="SD70" s="744">
        <f t="shared" si="384"/>
        <v>5.5555555555555566E-2</v>
      </c>
      <c r="SE70" s="744">
        <f t="shared" si="385"/>
        <v>5.5555555555555566E-2</v>
      </c>
      <c r="SF70" s="744"/>
      <c r="SG70" s="744">
        <f t="shared" si="386"/>
        <v>5.5555555555555566E-2</v>
      </c>
      <c r="SH70" s="744">
        <f t="shared" si="387"/>
        <v>5.5555555555555566E-2</v>
      </c>
      <c r="SI70" s="744">
        <f t="shared" si="388"/>
        <v>5.5555555555555566E-2</v>
      </c>
      <c r="SJ70" s="744">
        <f t="shared" si="389"/>
        <v>5.5555555555555566E-2</v>
      </c>
      <c r="SK70" s="744">
        <f t="shared" si="390"/>
        <v>5.5555555555555566E-2</v>
      </c>
      <c r="SL70" s="744">
        <f t="shared" si="391"/>
        <v>5.5555555555555566E-2</v>
      </c>
      <c r="SM70" s="744">
        <f t="shared" si="392"/>
        <v>5.5555555555555566E-2</v>
      </c>
      <c r="SN70" s="744">
        <f t="shared" si="393"/>
        <v>5.5555555555555566E-2</v>
      </c>
      <c r="SO70" s="744">
        <f t="shared" si="394"/>
        <v>5.5555555555555566E-2</v>
      </c>
      <c r="SP70" s="100"/>
      <c r="SQ70" s="114"/>
      <c r="SR70" s="806">
        <f t="shared" si="431"/>
        <v>0.49999999999999994</v>
      </c>
      <c r="SS70" s="806">
        <f t="shared" si="432"/>
        <v>0.49999999999999994</v>
      </c>
      <c r="ST70" s="806">
        <f t="shared" si="433"/>
        <v>0.49999999999999994</v>
      </c>
      <c r="SU70" s="806">
        <f t="shared" si="434"/>
        <v>0.49999999999999994</v>
      </c>
      <c r="SV70" s="806">
        <f t="shared" si="435"/>
        <v>0.49999999999999994</v>
      </c>
      <c r="SW70" s="806">
        <f t="shared" si="436"/>
        <v>0.49999999999999994</v>
      </c>
      <c r="SX70" s="806">
        <f t="shared" si="437"/>
        <v>0.49999999999999994</v>
      </c>
      <c r="SY70" s="806">
        <f t="shared" si="438"/>
        <v>0.49999999999999994</v>
      </c>
      <c r="SZ70" s="806">
        <f t="shared" si="439"/>
        <v>0.49999999999999994</v>
      </c>
      <c r="TA70" s="806"/>
      <c r="TB70" s="806">
        <f t="shared" si="440"/>
        <v>0.49999999999999994</v>
      </c>
      <c r="TC70" s="806">
        <f t="shared" si="441"/>
        <v>0.49999999999999994</v>
      </c>
      <c r="TD70" s="806">
        <f t="shared" si="442"/>
        <v>0.49999999999999994</v>
      </c>
      <c r="TE70" s="806">
        <f t="shared" si="443"/>
        <v>0.49999999999999994</v>
      </c>
      <c r="TF70" s="806">
        <f t="shared" si="444"/>
        <v>0.49999999999999994</v>
      </c>
      <c r="TG70" s="806">
        <f t="shared" si="445"/>
        <v>0.49999999999999994</v>
      </c>
      <c r="TH70" s="806">
        <f t="shared" si="446"/>
        <v>0.49999999999999994</v>
      </c>
      <c r="TI70" s="806">
        <f t="shared" si="447"/>
        <v>0.49999999999999994</v>
      </c>
      <c r="TJ70" s="806">
        <f t="shared" si="448"/>
        <v>0.49999999999999994</v>
      </c>
      <c r="TK70" s="806"/>
      <c r="TL70" s="806">
        <f t="shared" si="449"/>
        <v>0.49999999999999994</v>
      </c>
      <c r="TM70" s="806">
        <f t="shared" si="450"/>
        <v>0.49999999999999994</v>
      </c>
      <c r="TN70" s="806">
        <f t="shared" si="451"/>
        <v>0.49999999999999994</v>
      </c>
      <c r="TO70" s="806">
        <f t="shared" si="452"/>
        <v>0.49999999999999994</v>
      </c>
      <c r="TP70" s="806">
        <f t="shared" si="453"/>
        <v>0.49999999999999994</v>
      </c>
      <c r="TQ70" s="806">
        <f t="shared" si="454"/>
        <v>0.49999999999999994</v>
      </c>
      <c r="TR70" s="806">
        <f t="shared" si="455"/>
        <v>0.49999999999999994</v>
      </c>
      <c r="TS70" s="806">
        <f t="shared" si="456"/>
        <v>0.49999999999999994</v>
      </c>
      <c r="TT70" s="806">
        <f t="shared" si="457"/>
        <v>0.49999999999999994</v>
      </c>
      <c r="TU70" s="806"/>
      <c r="TV70" s="806">
        <f t="shared" si="458"/>
        <v>0.49999999999999994</v>
      </c>
      <c r="TW70" s="806">
        <f t="shared" si="459"/>
        <v>0.49999999999999994</v>
      </c>
      <c r="TX70" s="806">
        <f t="shared" si="460"/>
        <v>0.49999999999999994</v>
      </c>
      <c r="TY70" s="806">
        <f t="shared" si="461"/>
        <v>0.49999999999999994</v>
      </c>
      <c r="TZ70" s="806">
        <f t="shared" si="462"/>
        <v>0.49999999999999994</v>
      </c>
      <c r="UA70" s="806">
        <f t="shared" si="463"/>
        <v>0.49999999999999994</v>
      </c>
      <c r="UB70" s="806">
        <f t="shared" si="464"/>
        <v>0.49999999999999994</v>
      </c>
      <c r="UC70" s="806">
        <f t="shared" si="465"/>
        <v>0.49999999999999994</v>
      </c>
      <c r="UD70" s="1439">
        <f t="shared" si="466"/>
        <v>0.49999999999999994</v>
      </c>
    </row>
    <row r="71" spans="3:550" s="7" customFormat="1" x14ac:dyDescent="0.25">
      <c r="C71" s="21"/>
      <c r="D71" s="1308">
        <v>44046</v>
      </c>
      <c r="E71" s="233">
        <v>0</v>
      </c>
      <c r="F71" s="1392">
        <v>0</v>
      </c>
      <c r="G71" s="1392">
        <v>0</v>
      </c>
      <c r="H71" s="1392">
        <v>0</v>
      </c>
      <c r="I71" s="1392">
        <v>0</v>
      </c>
      <c r="J71" s="1392">
        <v>0</v>
      </c>
      <c r="K71" s="1392">
        <v>0</v>
      </c>
      <c r="L71" s="1392">
        <v>0</v>
      </c>
      <c r="M71" s="1392">
        <v>0</v>
      </c>
      <c r="N71" s="1392">
        <v>0</v>
      </c>
      <c r="O71" s="1392">
        <v>0</v>
      </c>
      <c r="P71" s="1392">
        <v>0</v>
      </c>
      <c r="Q71" s="1392">
        <v>0</v>
      </c>
      <c r="R71" s="1392">
        <v>0</v>
      </c>
      <c r="S71" s="1392">
        <v>0</v>
      </c>
      <c r="T71" s="1392">
        <v>0</v>
      </c>
      <c r="U71" s="1392">
        <v>0</v>
      </c>
      <c r="V71" s="1392">
        <v>0</v>
      </c>
      <c r="W71" s="1392">
        <v>0</v>
      </c>
      <c r="X71" s="1392">
        <v>0</v>
      </c>
      <c r="Y71" s="1392">
        <v>0</v>
      </c>
      <c r="Z71" s="1392">
        <v>0</v>
      </c>
      <c r="AA71" s="1392">
        <v>0</v>
      </c>
      <c r="AB71" s="1392">
        <v>0</v>
      </c>
      <c r="AC71" s="1392">
        <v>0</v>
      </c>
      <c r="AD71" s="1392">
        <v>0</v>
      </c>
      <c r="AE71" s="1392">
        <v>0</v>
      </c>
      <c r="AF71" s="1392">
        <v>0</v>
      </c>
      <c r="AG71" s="1392">
        <v>0</v>
      </c>
      <c r="AH71" s="1392">
        <v>0</v>
      </c>
      <c r="AI71" s="1392">
        <v>0</v>
      </c>
      <c r="AJ71" s="1392">
        <v>0</v>
      </c>
      <c r="AK71" s="1392">
        <v>0</v>
      </c>
      <c r="AL71" s="1392">
        <v>0</v>
      </c>
      <c r="AM71" s="1392">
        <v>0</v>
      </c>
      <c r="AN71" s="1392">
        <v>0</v>
      </c>
      <c r="AO71" s="1392">
        <v>0</v>
      </c>
      <c r="AP71" s="1392">
        <v>0</v>
      </c>
      <c r="AQ71" s="1392">
        <v>0</v>
      </c>
      <c r="AR71" s="1392">
        <v>0</v>
      </c>
      <c r="AS71" s="1392">
        <v>0</v>
      </c>
      <c r="AT71" s="1392">
        <v>0</v>
      </c>
      <c r="AU71" s="1392">
        <v>0</v>
      </c>
      <c r="AV71" s="1392">
        <v>0</v>
      </c>
      <c r="AW71" s="1392">
        <v>0</v>
      </c>
      <c r="AX71" s="1392">
        <v>0</v>
      </c>
      <c r="AY71" s="1392">
        <v>0</v>
      </c>
      <c r="AZ71" s="1392">
        <v>0</v>
      </c>
      <c r="BA71" s="1392">
        <v>0</v>
      </c>
      <c r="BB71" s="1392">
        <v>0</v>
      </c>
      <c r="BC71" s="1392">
        <v>0</v>
      </c>
      <c r="BD71" s="1392">
        <v>0</v>
      </c>
      <c r="BE71" s="1392">
        <v>0</v>
      </c>
      <c r="BF71" s="1392">
        <v>0</v>
      </c>
      <c r="BG71" s="1392">
        <v>0</v>
      </c>
      <c r="BH71" s="1392">
        <v>0</v>
      </c>
      <c r="BI71" s="1392">
        <v>0</v>
      </c>
      <c r="BJ71" s="1392">
        <v>0</v>
      </c>
      <c r="BK71" s="1392">
        <v>0</v>
      </c>
      <c r="BL71" s="1392">
        <v>0</v>
      </c>
      <c r="BM71" s="1392">
        <v>0</v>
      </c>
      <c r="BN71" s="1392">
        <v>0</v>
      </c>
      <c r="BO71" s="1392">
        <v>0</v>
      </c>
      <c r="BP71" s="1392">
        <v>0</v>
      </c>
      <c r="BQ71" s="1392">
        <v>0</v>
      </c>
      <c r="BR71" s="1392">
        <v>0</v>
      </c>
      <c r="BS71" s="1392">
        <v>0</v>
      </c>
      <c r="BT71" s="1392">
        <v>0</v>
      </c>
      <c r="BU71" s="1392">
        <v>0</v>
      </c>
      <c r="BV71" s="1392">
        <v>0</v>
      </c>
      <c r="BW71" s="1392">
        <v>0</v>
      </c>
      <c r="BX71" s="1392">
        <v>0</v>
      </c>
      <c r="BY71" s="1392">
        <v>0</v>
      </c>
      <c r="BZ71" s="1392">
        <v>0</v>
      </c>
      <c r="CA71" s="1392">
        <v>0</v>
      </c>
      <c r="CB71" s="1392">
        <v>0</v>
      </c>
      <c r="CC71" s="1392">
        <v>0</v>
      </c>
      <c r="CD71" s="1392">
        <v>0</v>
      </c>
      <c r="CE71" s="1392">
        <v>0</v>
      </c>
      <c r="CF71" s="1392">
        <v>0</v>
      </c>
      <c r="CG71" s="1392">
        <v>0</v>
      </c>
      <c r="CH71" s="1392">
        <v>0</v>
      </c>
      <c r="CI71" s="1392">
        <v>0</v>
      </c>
      <c r="CJ71" s="1392">
        <v>0</v>
      </c>
      <c r="CK71" s="1392">
        <v>0</v>
      </c>
      <c r="CL71" s="1392">
        <v>0</v>
      </c>
      <c r="CM71" s="1392">
        <v>0</v>
      </c>
      <c r="CN71" s="1392">
        <v>0</v>
      </c>
      <c r="CO71" s="1392">
        <v>0</v>
      </c>
      <c r="CP71" s="1392">
        <v>0</v>
      </c>
      <c r="CQ71" s="1392">
        <v>0</v>
      </c>
      <c r="CR71" s="1392">
        <v>0</v>
      </c>
      <c r="CS71" s="1392">
        <v>0</v>
      </c>
      <c r="CT71" s="1392">
        <v>0</v>
      </c>
      <c r="CU71" s="1392">
        <v>0</v>
      </c>
      <c r="CV71" s="1392">
        <v>0</v>
      </c>
      <c r="CW71" s="1392">
        <v>0</v>
      </c>
      <c r="CX71" s="1392">
        <v>0</v>
      </c>
      <c r="CY71" s="1392">
        <v>0</v>
      </c>
      <c r="CZ71" s="1392">
        <v>0</v>
      </c>
      <c r="DA71" s="1392">
        <v>0</v>
      </c>
      <c r="DB71" s="1392">
        <v>0</v>
      </c>
      <c r="DC71" s="1392">
        <v>0</v>
      </c>
      <c r="DD71" s="1392">
        <v>0</v>
      </c>
      <c r="DE71" s="1392">
        <v>0</v>
      </c>
      <c r="DF71" s="1392">
        <v>0</v>
      </c>
      <c r="DG71" s="1392">
        <v>0</v>
      </c>
      <c r="DH71" s="1392">
        <v>0</v>
      </c>
      <c r="DI71" s="1392">
        <v>0</v>
      </c>
      <c r="DJ71" s="1392">
        <v>0</v>
      </c>
      <c r="DK71" s="1392">
        <v>0</v>
      </c>
      <c r="DL71" s="1392">
        <v>0</v>
      </c>
      <c r="DM71" s="1392">
        <v>0</v>
      </c>
      <c r="DN71" s="1392">
        <v>0</v>
      </c>
      <c r="DO71" s="1392">
        <v>0</v>
      </c>
      <c r="DP71" s="1392">
        <v>0</v>
      </c>
      <c r="DQ71" s="1392">
        <v>0</v>
      </c>
      <c r="DR71" s="1392">
        <v>0</v>
      </c>
      <c r="DS71" s="1392">
        <v>0</v>
      </c>
      <c r="DT71" s="1392">
        <v>0</v>
      </c>
      <c r="DU71" s="1392">
        <v>0</v>
      </c>
      <c r="DV71" s="1392">
        <v>0</v>
      </c>
      <c r="DW71" s="1392">
        <v>0</v>
      </c>
      <c r="DX71" s="1392">
        <v>0</v>
      </c>
      <c r="DY71" s="1392">
        <v>0</v>
      </c>
      <c r="DZ71" s="1392">
        <v>0</v>
      </c>
      <c r="EA71" s="1392">
        <v>0</v>
      </c>
      <c r="EB71" s="1392">
        <v>0</v>
      </c>
      <c r="EC71" s="1392">
        <v>0</v>
      </c>
      <c r="ED71" s="1392">
        <v>0</v>
      </c>
      <c r="EE71" s="1392">
        <v>0</v>
      </c>
      <c r="EF71" s="1392">
        <v>0</v>
      </c>
      <c r="EG71" s="1392">
        <v>0</v>
      </c>
      <c r="EH71" s="1392">
        <v>0</v>
      </c>
      <c r="EI71" s="1392">
        <v>0</v>
      </c>
      <c r="EJ71" s="1392">
        <v>0</v>
      </c>
      <c r="EK71" s="1392">
        <v>0</v>
      </c>
      <c r="EL71" s="1392">
        <v>0</v>
      </c>
      <c r="EM71" s="1392">
        <v>0</v>
      </c>
      <c r="EN71" s="1392">
        <v>0</v>
      </c>
      <c r="EO71" s="1392">
        <v>0</v>
      </c>
      <c r="EP71" s="1392">
        <v>0</v>
      </c>
      <c r="EQ71" s="1392">
        <v>0</v>
      </c>
      <c r="ER71" s="1393">
        <v>0</v>
      </c>
      <c r="ES71" s="377"/>
      <c r="ET71" s="316">
        <f t="shared" si="335"/>
        <v>1</v>
      </c>
      <c r="EU71" s="1392">
        <f t="shared" si="20"/>
        <v>1</v>
      </c>
      <c r="EV71" s="1392">
        <f t="shared" si="21"/>
        <v>1</v>
      </c>
      <c r="EW71" s="1392">
        <f t="shared" si="22"/>
        <v>1</v>
      </c>
      <c r="EX71" s="1392">
        <f t="shared" si="23"/>
        <v>1</v>
      </c>
      <c r="EY71" s="1392">
        <f t="shared" si="24"/>
        <v>1</v>
      </c>
      <c r="EZ71" s="1392">
        <f t="shared" si="25"/>
        <v>1</v>
      </c>
      <c r="FA71" s="1392">
        <f t="shared" si="26"/>
        <v>1</v>
      </c>
      <c r="FB71" s="1392">
        <f t="shared" si="27"/>
        <v>1</v>
      </c>
      <c r="FC71" s="1392">
        <f t="shared" si="28"/>
        <v>1</v>
      </c>
      <c r="FD71" s="1392">
        <f t="shared" si="29"/>
        <v>1</v>
      </c>
      <c r="FE71" s="1392">
        <f t="shared" si="30"/>
        <v>1</v>
      </c>
      <c r="FF71" s="1392">
        <f t="shared" si="31"/>
        <v>1</v>
      </c>
      <c r="FG71" s="1392">
        <f t="shared" si="32"/>
        <v>1</v>
      </c>
      <c r="FH71" s="1392">
        <f t="shared" si="33"/>
        <v>1</v>
      </c>
      <c r="FI71" s="1392">
        <f t="shared" si="34"/>
        <v>1</v>
      </c>
      <c r="FJ71" s="1392">
        <f t="shared" si="35"/>
        <v>1</v>
      </c>
      <c r="FK71" s="1392">
        <f t="shared" si="36"/>
        <v>1</v>
      </c>
      <c r="FL71" s="1392">
        <f t="shared" si="37"/>
        <v>1</v>
      </c>
      <c r="FM71" s="1392">
        <f t="shared" si="38"/>
        <v>1</v>
      </c>
      <c r="FN71" s="1392">
        <f t="shared" si="39"/>
        <v>1</v>
      </c>
      <c r="FO71" s="1392">
        <f t="shared" si="40"/>
        <v>1</v>
      </c>
      <c r="FP71" s="1392">
        <f t="shared" si="41"/>
        <v>1</v>
      </c>
      <c r="FQ71" s="1392">
        <f t="shared" si="42"/>
        <v>1</v>
      </c>
      <c r="FR71" s="1392">
        <f t="shared" si="43"/>
        <v>1</v>
      </c>
      <c r="FS71" s="1392">
        <f t="shared" si="44"/>
        <v>1</v>
      </c>
      <c r="FT71" s="1392">
        <f t="shared" si="45"/>
        <v>1</v>
      </c>
      <c r="FU71" s="1392">
        <f t="shared" si="46"/>
        <v>1</v>
      </c>
      <c r="FV71" s="1392">
        <f t="shared" si="47"/>
        <v>1</v>
      </c>
      <c r="FW71" s="1392">
        <f t="shared" si="48"/>
        <v>1</v>
      </c>
      <c r="FX71" s="1392">
        <f t="shared" si="49"/>
        <v>1</v>
      </c>
      <c r="FY71" s="1392">
        <f t="shared" si="50"/>
        <v>1</v>
      </c>
      <c r="FZ71" s="1392">
        <f t="shared" si="51"/>
        <v>1</v>
      </c>
      <c r="GA71" s="1392">
        <f t="shared" si="52"/>
        <v>1</v>
      </c>
      <c r="GB71" s="1392">
        <f t="shared" si="53"/>
        <v>1</v>
      </c>
      <c r="GC71" s="1392">
        <f t="shared" si="54"/>
        <v>1</v>
      </c>
      <c r="GD71" s="1392">
        <f t="shared" si="55"/>
        <v>1</v>
      </c>
      <c r="GE71" s="1392">
        <f t="shared" si="56"/>
        <v>1</v>
      </c>
      <c r="GF71" s="1392">
        <f t="shared" si="57"/>
        <v>1</v>
      </c>
      <c r="GG71" s="1392">
        <f t="shared" si="58"/>
        <v>1</v>
      </c>
      <c r="GH71" s="1392">
        <f t="shared" si="59"/>
        <v>1</v>
      </c>
      <c r="GI71" s="1392">
        <f t="shared" si="60"/>
        <v>1</v>
      </c>
      <c r="GJ71" s="1392">
        <f t="shared" si="61"/>
        <v>1</v>
      </c>
      <c r="GK71" s="1392">
        <f t="shared" si="62"/>
        <v>1</v>
      </c>
      <c r="GL71" s="1392">
        <f t="shared" si="63"/>
        <v>1</v>
      </c>
      <c r="GM71" s="1392">
        <f t="shared" si="64"/>
        <v>1</v>
      </c>
      <c r="GN71" s="1392">
        <f t="shared" si="65"/>
        <v>1</v>
      </c>
      <c r="GO71" s="1392">
        <f t="shared" si="66"/>
        <v>1</v>
      </c>
      <c r="GP71" s="1392">
        <f t="shared" si="67"/>
        <v>1</v>
      </c>
      <c r="GQ71" s="1392">
        <f t="shared" si="68"/>
        <v>1</v>
      </c>
      <c r="GR71" s="1392">
        <f t="shared" si="69"/>
        <v>1</v>
      </c>
      <c r="GS71" s="1392">
        <f t="shared" si="70"/>
        <v>1</v>
      </c>
      <c r="GT71" s="1392">
        <f t="shared" si="71"/>
        <v>1</v>
      </c>
      <c r="GU71" s="1392">
        <f t="shared" si="72"/>
        <v>1</v>
      </c>
      <c r="GV71" s="1392">
        <f t="shared" si="73"/>
        <v>1</v>
      </c>
      <c r="GW71" s="1392">
        <f t="shared" si="74"/>
        <v>1</v>
      </c>
      <c r="GX71" s="1392">
        <f t="shared" si="75"/>
        <v>1</v>
      </c>
      <c r="GY71" s="1392">
        <f t="shared" si="76"/>
        <v>1</v>
      </c>
      <c r="GZ71" s="1392">
        <f t="shared" si="77"/>
        <v>1</v>
      </c>
      <c r="HA71" s="1392">
        <f t="shared" si="78"/>
        <v>1</v>
      </c>
      <c r="HB71" s="1392">
        <f t="shared" si="79"/>
        <v>1</v>
      </c>
      <c r="HC71" s="1392">
        <f t="shared" si="80"/>
        <v>1</v>
      </c>
      <c r="HD71" s="1392">
        <f t="shared" si="81"/>
        <v>1</v>
      </c>
      <c r="HE71" s="1392">
        <f t="shared" si="82"/>
        <v>1</v>
      </c>
      <c r="HF71" s="1392">
        <f t="shared" si="83"/>
        <v>1</v>
      </c>
      <c r="HG71" s="1392">
        <f t="shared" si="84"/>
        <v>1</v>
      </c>
      <c r="HH71" s="1392">
        <f t="shared" si="85"/>
        <v>1</v>
      </c>
      <c r="HI71" s="1392">
        <f t="shared" si="86"/>
        <v>1</v>
      </c>
      <c r="HJ71" s="1392">
        <f t="shared" si="87"/>
        <v>1</v>
      </c>
      <c r="HK71" s="1392">
        <f t="shared" si="88"/>
        <v>1</v>
      </c>
      <c r="HL71" s="1392">
        <f t="shared" si="89"/>
        <v>1</v>
      </c>
      <c r="HM71" s="1392">
        <f t="shared" si="90"/>
        <v>1</v>
      </c>
      <c r="HN71" s="1392">
        <f t="shared" si="91"/>
        <v>1</v>
      </c>
      <c r="HO71" s="1392">
        <f t="shared" si="92"/>
        <v>1</v>
      </c>
      <c r="HP71" s="1392">
        <f t="shared" si="93"/>
        <v>1</v>
      </c>
      <c r="HQ71" s="1392">
        <f t="shared" si="94"/>
        <v>1</v>
      </c>
      <c r="HR71" s="1392">
        <f t="shared" si="95"/>
        <v>1</v>
      </c>
      <c r="HS71" s="1392">
        <f t="shared" si="96"/>
        <v>1</v>
      </c>
      <c r="HT71" s="1392">
        <f t="shared" si="97"/>
        <v>1</v>
      </c>
      <c r="HU71" s="1392">
        <f t="shared" si="98"/>
        <v>1</v>
      </c>
      <c r="HV71" s="1392">
        <f t="shared" si="99"/>
        <v>1</v>
      </c>
      <c r="HW71" s="1392">
        <f t="shared" si="100"/>
        <v>1</v>
      </c>
      <c r="HX71" s="1392">
        <f t="shared" si="101"/>
        <v>1</v>
      </c>
      <c r="HY71" s="1392">
        <f t="shared" si="102"/>
        <v>1</v>
      </c>
      <c r="HZ71" s="1392">
        <f t="shared" si="103"/>
        <v>1</v>
      </c>
      <c r="IA71" s="1392">
        <f t="shared" si="104"/>
        <v>1</v>
      </c>
      <c r="IB71" s="1392">
        <f t="shared" si="105"/>
        <v>1</v>
      </c>
      <c r="IC71" s="1392">
        <f t="shared" si="106"/>
        <v>1</v>
      </c>
      <c r="ID71" s="1392">
        <f t="shared" si="107"/>
        <v>1</v>
      </c>
      <c r="IE71" s="1392">
        <f t="shared" si="108"/>
        <v>1</v>
      </c>
      <c r="IF71" s="1392">
        <f t="shared" si="109"/>
        <v>1</v>
      </c>
      <c r="IG71" s="1392">
        <f t="shared" si="110"/>
        <v>1</v>
      </c>
      <c r="IH71" s="1392">
        <f t="shared" si="111"/>
        <v>1</v>
      </c>
      <c r="II71" s="1392">
        <f t="shared" si="112"/>
        <v>1</v>
      </c>
      <c r="IJ71" s="1392">
        <f t="shared" si="113"/>
        <v>1</v>
      </c>
      <c r="IK71" s="1392">
        <f t="shared" si="114"/>
        <v>1</v>
      </c>
      <c r="IL71" s="1392">
        <f t="shared" si="115"/>
        <v>1</v>
      </c>
      <c r="IM71" s="1392">
        <f t="shared" si="116"/>
        <v>1</v>
      </c>
      <c r="IN71" s="1392">
        <f t="shared" si="117"/>
        <v>1</v>
      </c>
      <c r="IO71" s="1392">
        <f t="shared" si="118"/>
        <v>1</v>
      </c>
      <c r="IP71" s="1392">
        <f t="shared" si="119"/>
        <v>1</v>
      </c>
      <c r="IQ71" s="1392">
        <f t="shared" si="120"/>
        <v>1</v>
      </c>
      <c r="IR71" s="1392">
        <f t="shared" si="121"/>
        <v>1</v>
      </c>
      <c r="IS71" s="1392">
        <f t="shared" si="122"/>
        <v>1</v>
      </c>
      <c r="IT71" s="1392">
        <f t="shared" si="123"/>
        <v>1</v>
      </c>
      <c r="IU71" s="1392">
        <f t="shared" si="124"/>
        <v>1</v>
      </c>
      <c r="IV71" s="1392">
        <f t="shared" si="125"/>
        <v>1</v>
      </c>
      <c r="IW71" s="1392">
        <f t="shared" si="126"/>
        <v>1</v>
      </c>
      <c r="IX71" s="1392">
        <f t="shared" si="127"/>
        <v>1</v>
      </c>
      <c r="IY71" s="1392">
        <f t="shared" si="128"/>
        <v>1</v>
      </c>
      <c r="IZ71" s="1392">
        <f t="shared" si="129"/>
        <v>1</v>
      </c>
      <c r="JA71" s="1392">
        <f t="shared" si="130"/>
        <v>1</v>
      </c>
      <c r="JB71" s="1392">
        <f t="shared" si="131"/>
        <v>1</v>
      </c>
      <c r="JC71" s="1392">
        <f t="shared" si="132"/>
        <v>1</v>
      </c>
      <c r="JD71" s="1392">
        <f t="shared" si="133"/>
        <v>1</v>
      </c>
      <c r="JE71" s="1392">
        <f t="shared" si="134"/>
        <v>1</v>
      </c>
      <c r="JF71" s="1392">
        <f t="shared" si="135"/>
        <v>1</v>
      </c>
      <c r="JG71" s="1392">
        <f t="shared" si="136"/>
        <v>1</v>
      </c>
      <c r="JH71" s="1392">
        <f t="shared" si="137"/>
        <v>1</v>
      </c>
      <c r="JI71" s="1392">
        <f t="shared" si="138"/>
        <v>1</v>
      </c>
      <c r="JJ71" s="1392">
        <f t="shared" si="139"/>
        <v>1</v>
      </c>
      <c r="JK71" s="1392">
        <f t="shared" si="140"/>
        <v>1</v>
      </c>
      <c r="JL71" s="1392">
        <f t="shared" si="141"/>
        <v>1</v>
      </c>
      <c r="JM71" s="1392">
        <f t="shared" si="142"/>
        <v>1</v>
      </c>
      <c r="JN71" s="1392">
        <f t="shared" si="143"/>
        <v>1</v>
      </c>
      <c r="JO71" s="1392">
        <f t="shared" si="144"/>
        <v>1</v>
      </c>
      <c r="JP71" s="1392">
        <f t="shared" si="145"/>
        <v>1</v>
      </c>
      <c r="JQ71" s="1392">
        <f t="shared" si="146"/>
        <v>1</v>
      </c>
      <c r="JR71" s="1392">
        <f t="shared" si="147"/>
        <v>1</v>
      </c>
      <c r="JS71" s="1392">
        <f t="shared" si="148"/>
        <v>1</v>
      </c>
      <c r="JT71" s="1392">
        <f t="shared" si="149"/>
        <v>1</v>
      </c>
      <c r="JU71" s="1392">
        <f t="shared" si="150"/>
        <v>1</v>
      </c>
      <c r="JV71" s="1392">
        <f t="shared" si="151"/>
        <v>1</v>
      </c>
      <c r="JW71" s="1392">
        <f t="shared" si="152"/>
        <v>1</v>
      </c>
      <c r="JX71" s="1392">
        <f t="shared" si="153"/>
        <v>1</v>
      </c>
      <c r="JY71" s="1392">
        <f t="shared" si="154"/>
        <v>1</v>
      </c>
      <c r="JZ71" s="1392">
        <f t="shared" si="155"/>
        <v>1</v>
      </c>
      <c r="KA71" s="1392">
        <f t="shared" si="156"/>
        <v>1</v>
      </c>
      <c r="KB71" s="1392">
        <f t="shared" si="157"/>
        <v>1</v>
      </c>
      <c r="KC71" s="1392">
        <f t="shared" si="158"/>
        <v>1</v>
      </c>
      <c r="KD71" s="1392">
        <f t="shared" si="159"/>
        <v>1</v>
      </c>
      <c r="KE71" s="1392">
        <f t="shared" si="160"/>
        <v>1</v>
      </c>
      <c r="KF71" s="1392">
        <f t="shared" si="161"/>
        <v>1</v>
      </c>
      <c r="KG71" s="1399">
        <f t="shared" si="162"/>
        <v>1</v>
      </c>
      <c r="KH71" s="1406">
        <f t="shared" si="163"/>
        <v>144</v>
      </c>
      <c r="KI71" s="377"/>
      <c r="KJ71" s="1444">
        <f t="shared" si="164"/>
        <v>19.879253198304003</v>
      </c>
      <c r="KK71" s="49">
        <f t="shared" si="165"/>
        <v>0</v>
      </c>
      <c r="KL71" s="377"/>
      <c r="KM71" s="908">
        <f t="shared" si="166"/>
        <v>6.9444444444444441E-3</v>
      </c>
      <c r="KN71" s="1411">
        <f t="shared" si="167"/>
        <v>6.9444444444444441E-3</v>
      </c>
      <c r="KO71" s="1411">
        <f t="shared" si="168"/>
        <v>6.9444444444444441E-3</v>
      </c>
      <c r="KP71" s="1411">
        <f t="shared" si="169"/>
        <v>6.9444444444444441E-3</v>
      </c>
      <c r="KQ71" s="1411">
        <f t="shared" si="170"/>
        <v>6.9444444444444441E-3</v>
      </c>
      <c r="KR71" s="1411">
        <f t="shared" si="171"/>
        <v>6.9444444444444441E-3</v>
      </c>
      <c r="KS71" s="1411">
        <f t="shared" si="172"/>
        <v>6.9444444444444441E-3</v>
      </c>
      <c r="KT71" s="1411">
        <f t="shared" si="173"/>
        <v>6.9444444444444441E-3</v>
      </c>
      <c r="KU71" s="1411">
        <f t="shared" si="174"/>
        <v>6.9444444444444441E-3</v>
      </c>
      <c r="KV71" s="1411">
        <f t="shared" si="175"/>
        <v>6.9444444444444441E-3</v>
      </c>
      <c r="KW71" s="1411">
        <f t="shared" si="176"/>
        <v>6.9444444444444441E-3</v>
      </c>
      <c r="KX71" s="1411">
        <f t="shared" si="177"/>
        <v>6.9444444444444441E-3</v>
      </c>
      <c r="KY71" s="1411">
        <f t="shared" si="178"/>
        <v>6.9444444444444441E-3</v>
      </c>
      <c r="KZ71" s="1411">
        <f t="shared" si="179"/>
        <v>6.9444444444444441E-3</v>
      </c>
      <c r="LA71" s="1411">
        <f t="shared" si="180"/>
        <v>6.9444444444444441E-3</v>
      </c>
      <c r="LB71" s="1411">
        <f t="shared" si="181"/>
        <v>6.9444444444444441E-3</v>
      </c>
      <c r="LC71" s="1411">
        <f t="shared" si="182"/>
        <v>6.9444444444444441E-3</v>
      </c>
      <c r="LD71" s="1411">
        <f t="shared" si="183"/>
        <v>6.9444444444444441E-3</v>
      </c>
      <c r="LE71" s="1411">
        <f t="shared" si="184"/>
        <v>6.9444444444444441E-3</v>
      </c>
      <c r="LF71" s="1411">
        <f t="shared" si="185"/>
        <v>6.9444444444444441E-3</v>
      </c>
      <c r="LG71" s="1411">
        <f t="shared" si="186"/>
        <v>6.9444444444444441E-3</v>
      </c>
      <c r="LH71" s="1411">
        <f t="shared" si="187"/>
        <v>6.9444444444444441E-3</v>
      </c>
      <c r="LI71" s="1411">
        <f t="shared" si="188"/>
        <v>6.9444444444444441E-3</v>
      </c>
      <c r="LJ71" s="1411">
        <f t="shared" si="189"/>
        <v>6.9444444444444441E-3</v>
      </c>
      <c r="LK71" s="1411">
        <f t="shared" si="190"/>
        <v>6.9444444444444441E-3</v>
      </c>
      <c r="LL71" s="1411">
        <f t="shared" si="191"/>
        <v>6.9444444444444441E-3</v>
      </c>
      <c r="LM71" s="1411">
        <f t="shared" si="192"/>
        <v>6.9444444444444441E-3</v>
      </c>
      <c r="LN71" s="1411">
        <f t="shared" si="193"/>
        <v>6.9444444444444441E-3</v>
      </c>
      <c r="LO71" s="1411">
        <f t="shared" si="194"/>
        <v>6.9444444444444441E-3</v>
      </c>
      <c r="LP71" s="1411">
        <f t="shared" si="195"/>
        <v>6.9444444444444441E-3</v>
      </c>
      <c r="LQ71" s="1411">
        <f t="shared" si="196"/>
        <v>6.9444444444444441E-3</v>
      </c>
      <c r="LR71" s="1411">
        <f t="shared" si="197"/>
        <v>6.9444444444444441E-3</v>
      </c>
      <c r="LS71" s="1411">
        <f t="shared" si="198"/>
        <v>6.9444444444444441E-3</v>
      </c>
      <c r="LT71" s="1411">
        <f t="shared" si="199"/>
        <v>6.9444444444444441E-3</v>
      </c>
      <c r="LU71" s="1411">
        <f t="shared" si="200"/>
        <v>6.9444444444444441E-3</v>
      </c>
      <c r="LV71" s="1411">
        <f t="shared" si="201"/>
        <v>6.9444444444444441E-3</v>
      </c>
      <c r="LW71" s="1411">
        <f t="shared" si="202"/>
        <v>6.9444444444444441E-3</v>
      </c>
      <c r="LX71" s="1411">
        <f t="shared" si="203"/>
        <v>6.9444444444444441E-3</v>
      </c>
      <c r="LY71" s="1411">
        <f t="shared" si="204"/>
        <v>6.9444444444444441E-3</v>
      </c>
      <c r="LZ71" s="1411">
        <f t="shared" si="205"/>
        <v>6.9444444444444441E-3</v>
      </c>
      <c r="MA71" s="1411">
        <f t="shared" si="206"/>
        <v>6.9444444444444441E-3</v>
      </c>
      <c r="MB71" s="1411">
        <f t="shared" si="207"/>
        <v>6.9444444444444441E-3</v>
      </c>
      <c r="MC71" s="1411">
        <f t="shared" si="208"/>
        <v>6.9444444444444441E-3</v>
      </c>
      <c r="MD71" s="1411">
        <f t="shared" si="209"/>
        <v>6.9444444444444441E-3</v>
      </c>
      <c r="ME71" s="1411">
        <f t="shared" si="210"/>
        <v>6.9444444444444441E-3</v>
      </c>
      <c r="MF71" s="1411">
        <f t="shared" si="211"/>
        <v>6.9444444444444441E-3</v>
      </c>
      <c r="MG71" s="1411">
        <f t="shared" si="212"/>
        <v>6.9444444444444441E-3</v>
      </c>
      <c r="MH71" s="1411">
        <f t="shared" si="213"/>
        <v>6.9444444444444441E-3</v>
      </c>
      <c r="MI71" s="1411">
        <f t="shared" si="214"/>
        <v>6.9444444444444441E-3</v>
      </c>
      <c r="MJ71" s="1411">
        <f t="shared" si="215"/>
        <v>6.9444444444444441E-3</v>
      </c>
      <c r="MK71" s="1411">
        <f t="shared" si="216"/>
        <v>6.9444444444444441E-3</v>
      </c>
      <c r="ML71" s="1411">
        <f t="shared" si="217"/>
        <v>6.9444444444444441E-3</v>
      </c>
      <c r="MM71" s="1411">
        <f t="shared" si="218"/>
        <v>6.9444444444444441E-3</v>
      </c>
      <c r="MN71" s="1411">
        <f t="shared" si="219"/>
        <v>6.9444444444444441E-3</v>
      </c>
      <c r="MO71" s="1411">
        <f t="shared" si="220"/>
        <v>6.9444444444444441E-3</v>
      </c>
      <c r="MP71" s="1411">
        <f t="shared" si="221"/>
        <v>6.9444444444444441E-3</v>
      </c>
      <c r="MQ71" s="1411">
        <f t="shared" si="222"/>
        <v>6.9444444444444441E-3</v>
      </c>
      <c r="MR71" s="1411">
        <f t="shared" si="223"/>
        <v>6.9444444444444441E-3</v>
      </c>
      <c r="MS71" s="1411">
        <f t="shared" si="224"/>
        <v>6.9444444444444441E-3</v>
      </c>
      <c r="MT71" s="1411">
        <f t="shared" si="225"/>
        <v>6.9444444444444441E-3</v>
      </c>
      <c r="MU71" s="1411">
        <f t="shared" si="226"/>
        <v>6.9444444444444441E-3</v>
      </c>
      <c r="MV71" s="1411">
        <f t="shared" si="227"/>
        <v>6.9444444444444441E-3</v>
      </c>
      <c r="MW71" s="1411">
        <f t="shared" si="228"/>
        <v>6.9444444444444441E-3</v>
      </c>
      <c r="MX71" s="1411">
        <f t="shared" si="229"/>
        <v>6.9444444444444441E-3</v>
      </c>
      <c r="MY71" s="1411">
        <f t="shared" si="230"/>
        <v>6.9444444444444441E-3</v>
      </c>
      <c r="MZ71" s="1411">
        <f t="shared" si="231"/>
        <v>6.9444444444444441E-3</v>
      </c>
      <c r="NA71" s="1411">
        <f t="shared" si="232"/>
        <v>6.9444444444444441E-3</v>
      </c>
      <c r="NB71" s="1411">
        <f t="shared" si="233"/>
        <v>6.9444444444444441E-3</v>
      </c>
      <c r="NC71" s="1411">
        <f t="shared" si="234"/>
        <v>6.9444444444444441E-3</v>
      </c>
      <c r="ND71" s="1411">
        <f t="shared" si="235"/>
        <v>6.9444444444444441E-3</v>
      </c>
      <c r="NE71" s="1411">
        <f t="shared" si="236"/>
        <v>6.9444444444444441E-3</v>
      </c>
      <c r="NF71" s="1411">
        <f t="shared" si="237"/>
        <v>6.9444444444444441E-3</v>
      </c>
      <c r="NG71" s="1411">
        <f t="shared" si="238"/>
        <v>6.9444444444444441E-3</v>
      </c>
      <c r="NH71" s="1411">
        <f t="shared" si="239"/>
        <v>6.9444444444444441E-3</v>
      </c>
      <c r="NI71" s="1411">
        <f t="shared" si="240"/>
        <v>6.9444444444444441E-3</v>
      </c>
      <c r="NJ71" s="1411">
        <f t="shared" si="241"/>
        <v>6.9444444444444441E-3</v>
      </c>
      <c r="NK71" s="1411">
        <f t="shared" si="242"/>
        <v>6.9444444444444441E-3</v>
      </c>
      <c r="NL71" s="1411">
        <f t="shared" si="243"/>
        <v>6.9444444444444441E-3</v>
      </c>
      <c r="NM71" s="1411">
        <f t="shared" si="244"/>
        <v>6.9444444444444441E-3</v>
      </c>
      <c r="NN71" s="1411">
        <f t="shared" si="245"/>
        <v>6.9444444444444441E-3</v>
      </c>
      <c r="NO71" s="1411">
        <f t="shared" si="246"/>
        <v>6.9444444444444441E-3</v>
      </c>
      <c r="NP71" s="1411">
        <f t="shared" si="247"/>
        <v>6.9444444444444441E-3</v>
      </c>
      <c r="NQ71" s="1411">
        <f t="shared" si="248"/>
        <v>6.9444444444444441E-3</v>
      </c>
      <c r="NR71" s="1411">
        <f t="shared" si="249"/>
        <v>6.9444444444444441E-3</v>
      </c>
      <c r="NS71" s="1411">
        <f t="shared" si="250"/>
        <v>6.9444444444444441E-3</v>
      </c>
      <c r="NT71" s="1411">
        <f t="shared" si="251"/>
        <v>6.9444444444444441E-3</v>
      </c>
      <c r="NU71" s="1411">
        <f t="shared" si="252"/>
        <v>6.9444444444444441E-3</v>
      </c>
      <c r="NV71" s="1411">
        <f t="shared" si="253"/>
        <v>6.9444444444444441E-3</v>
      </c>
      <c r="NW71" s="1411">
        <f t="shared" si="254"/>
        <v>6.9444444444444441E-3</v>
      </c>
      <c r="NX71" s="1411">
        <f t="shared" si="255"/>
        <v>6.9444444444444441E-3</v>
      </c>
      <c r="NY71" s="1411">
        <f t="shared" si="256"/>
        <v>6.9444444444444441E-3</v>
      </c>
      <c r="NZ71" s="1411">
        <f t="shared" si="257"/>
        <v>6.9444444444444441E-3</v>
      </c>
      <c r="OA71" s="1411">
        <f t="shared" si="258"/>
        <v>6.9444444444444441E-3</v>
      </c>
      <c r="OB71" s="1411">
        <f t="shared" si="259"/>
        <v>6.9444444444444441E-3</v>
      </c>
      <c r="OC71" s="1411">
        <f t="shared" si="260"/>
        <v>6.9444444444444441E-3</v>
      </c>
      <c r="OD71" s="1411">
        <f t="shared" si="261"/>
        <v>6.9444444444444441E-3</v>
      </c>
      <c r="OE71" s="1411">
        <f t="shared" si="262"/>
        <v>6.9444444444444441E-3</v>
      </c>
      <c r="OF71" s="1411">
        <f t="shared" si="263"/>
        <v>6.9444444444444441E-3</v>
      </c>
      <c r="OG71" s="1411">
        <f t="shared" si="264"/>
        <v>6.9444444444444441E-3</v>
      </c>
      <c r="OH71" s="1411">
        <f t="shared" si="265"/>
        <v>6.9444444444444441E-3</v>
      </c>
      <c r="OI71" s="1411">
        <f t="shared" si="266"/>
        <v>6.9444444444444441E-3</v>
      </c>
      <c r="OJ71" s="1411">
        <f t="shared" si="267"/>
        <v>6.9444444444444441E-3</v>
      </c>
      <c r="OK71" s="1411">
        <f t="shared" si="268"/>
        <v>6.9444444444444441E-3</v>
      </c>
      <c r="OL71" s="1411">
        <f t="shared" si="269"/>
        <v>6.9444444444444441E-3</v>
      </c>
      <c r="OM71" s="1411">
        <f t="shared" si="270"/>
        <v>6.9444444444444441E-3</v>
      </c>
      <c r="ON71" s="1411">
        <f t="shared" si="271"/>
        <v>6.9444444444444441E-3</v>
      </c>
      <c r="OO71" s="1411">
        <f t="shared" si="272"/>
        <v>6.9444444444444441E-3</v>
      </c>
      <c r="OP71" s="1411">
        <f t="shared" si="273"/>
        <v>6.9444444444444441E-3</v>
      </c>
      <c r="OQ71" s="1411">
        <f t="shared" si="274"/>
        <v>6.9444444444444441E-3</v>
      </c>
      <c r="OR71" s="1411">
        <f t="shared" si="275"/>
        <v>6.9444444444444441E-3</v>
      </c>
      <c r="OS71" s="1411">
        <f t="shared" si="276"/>
        <v>6.9444444444444441E-3</v>
      </c>
      <c r="OT71" s="1411">
        <f t="shared" si="277"/>
        <v>6.9444444444444441E-3</v>
      </c>
      <c r="OU71" s="1411">
        <f t="shared" si="278"/>
        <v>6.9444444444444441E-3</v>
      </c>
      <c r="OV71" s="1411">
        <f t="shared" si="279"/>
        <v>6.9444444444444441E-3</v>
      </c>
      <c r="OW71" s="1411">
        <f t="shared" si="280"/>
        <v>6.9444444444444441E-3</v>
      </c>
      <c r="OX71" s="1411">
        <f t="shared" si="281"/>
        <v>6.9444444444444441E-3</v>
      </c>
      <c r="OY71" s="1411">
        <f t="shared" si="282"/>
        <v>6.9444444444444441E-3</v>
      </c>
      <c r="OZ71" s="1411">
        <f t="shared" si="283"/>
        <v>6.9444444444444441E-3</v>
      </c>
      <c r="PA71" s="1411">
        <f t="shared" si="284"/>
        <v>6.9444444444444441E-3</v>
      </c>
      <c r="PB71" s="1411">
        <f t="shared" si="285"/>
        <v>6.9444444444444441E-3</v>
      </c>
      <c r="PC71" s="1411">
        <f t="shared" si="286"/>
        <v>6.9444444444444441E-3</v>
      </c>
      <c r="PD71" s="1411">
        <f t="shared" si="287"/>
        <v>6.9444444444444441E-3</v>
      </c>
      <c r="PE71" s="1411">
        <f t="shared" si="288"/>
        <v>6.9444444444444441E-3</v>
      </c>
      <c r="PF71" s="1411">
        <f t="shared" si="289"/>
        <v>6.9444444444444441E-3</v>
      </c>
      <c r="PG71" s="1411">
        <f t="shared" si="290"/>
        <v>6.9444444444444441E-3</v>
      </c>
      <c r="PH71" s="1411">
        <f t="shared" si="291"/>
        <v>6.9444444444444441E-3</v>
      </c>
      <c r="PI71" s="1411">
        <f t="shared" si="292"/>
        <v>6.9444444444444441E-3</v>
      </c>
      <c r="PJ71" s="1411">
        <f t="shared" si="293"/>
        <v>6.9444444444444441E-3</v>
      </c>
      <c r="PK71" s="1411">
        <f t="shared" si="294"/>
        <v>6.9444444444444441E-3</v>
      </c>
      <c r="PL71" s="1411">
        <f t="shared" si="295"/>
        <v>6.9444444444444441E-3</v>
      </c>
      <c r="PM71" s="1411">
        <f t="shared" si="296"/>
        <v>6.9444444444444441E-3</v>
      </c>
      <c r="PN71" s="1411">
        <f t="shared" si="297"/>
        <v>6.9444444444444441E-3</v>
      </c>
      <c r="PO71" s="1411">
        <f t="shared" si="298"/>
        <v>6.9444444444444441E-3</v>
      </c>
      <c r="PP71" s="1411">
        <f t="shared" si="299"/>
        <v>6.9444444444444441E-3</v>
      </c>
      <c r="PQ71" s="1411">
        <f t="shared" si="300"/>
        <v>6.9444444444444441E-3</v>
      </c>
      <c r="PR71" s="1411">
        <f t="shared" si="301"/>
        <v>6.9444444444444441E-3</v>
      </c>
      <c r="PS71" s="1411">
        <f t="shared" si="302"/>
        <v>6.9444444444444441E-3</v>
      </c>
      <c r="PT71" s="1411">
        <f t="shared" si="303"/>
        <v>6.9444444444444441E-3</v>
      </c>
      <c r="PU71" s="1411">
        <f t="shared" si="304"/>
        <v>6.9444444444444441E-3</v>
      </c>
      <c r="PV71" s="1411">
        <f t="shared" si="305"/>
        <v>6.9444444444444441E-3</v>
      </c>
      <c r="PW71" s="1411">
        <f t="shared" si="306"/>
        <v>6.9444444444444441E-3</v>
      </c>
      <c r="PX71" s="1411">
        <f t="shared" si="307"/>
        <v>6.9444444444444441E-3</v>
      </c>
      <c r="PY71" s="1411">
        <f t="shared" si="308"/>
        <v>6.9444444444444441E-3</v>
      </c>
      <c r="PZ71" s="1412">
        <f t="shared" si="309"/>
        <v>6.9444444444444441E-3</v>
      </c>
      <c r="QB71" s="33" t="s">
        <v>1072</v>
      </c>
      <c r="QC71" s="1432">
        <f t="shared" si="336"/>
        <v>0.33333333333333309</v>
      </c>
      <c r="QD71" s="744">
        <f t="shared" si="337"/>
        <v>0.33333333333333309</v>
      </c>
      <c r="QE71" s="1068">
        <f t="shared" si="338"/>
        <v>0.33333333333333309</v>
      </c>
      <c r="QF71" s="744">
        <f t="shared" si="339"/>
        <v>0.33333333333333309</v>
      </c>
      <c r="QG71" s="744">
        <f t="shared" si="340"/>
        <v>0.33333333333333309</v>
      </c>
      <c r="QH71" s="1068">
        <f t="shared" si="341"/>
        <v>0.33333333333333309</v>
      </c>
      <c r="QI71" s="744">
        <f t="shared" si="342"/>
        <v>0.49999999999999917</v>
      </c>
      <c r="QJ71" s="1068">
        <f t="shared" si="343"/>
        <v>0.49999999999999917</v>
      </c>
      <c r="QK71" s="744">
        <f t="shared" si="344"/>
        <v>0.49999999999999917</v>
      </c>
      <c r="QL71" s="1068">
        <f t="shared" si="345"/>
        <v>0.49999999999999917</v>
      </c>
      <c r="QM71" s="744">
        <f t="shared" si="346"/>
        <v>0.49999999999999917</v>
      </c>
      <c r="QN71" s="1068">
        <f t="shared" si="347"/>
        <v>0.49999999999999917</v>
      </c>
      <c r="QO71" s="744">
        <f t="shared" si="348"/>
        <v>0.49999999999999917</v>
      </c>
      <c r="QP71" s="1068">
        <f t="shared" si="349"/>
        <v>0.49999999999999917</v>
      </c>
      <c r="QR71" s="1432">
        <f t="shared" si="467"/>
        <v>0.11111111111111115</v>
      </c>
      <c r="QS71" s="744">
        <f t="shared" si="468"/>
        <v>0.11111111111111115</v>
      </c>
      <c r="QT71" s="744">
        <f t="shared" si="469"/>
        <v>0.11111111111111115</v>
      </c>
      <c r="QU71" s="743">
        <f t="shared" si="470"/>
        <v>0.11111111111111115</v>
      </c>
      <c r="QV71" s="744">
        <f t="shared" si="471"/>
        <v>0.11111111111111115</v>
      </c>
      <c r="QW71" s="744">
        <f t="shared" si="472"/>
        <v>0.11111111111111115</v>
      </c>
      <c r="QX71" s="743">
        <f t="shared" si="473"/>
        <v>0.11111111111111115</v>
      </c>
      <c r="QY71" s="744">
        <f t="shared" si="474"/>
        <v>0.11111111111111115</v>
      </c>
      <c r="QZ71" s="745">
        <f t="shared" si="475"/>
        <v>0.11111111111111115</v>
      </c>
      <c r="RC71" s="744">
        <f t="shared" si="359"/>
        <v>5.5555555555555566E-2</v>
      </c>
      <c r="RD71" s="744">
        <f t="shared" si="360"/>
        <v>5.5555555555555566E-2</v>
      </c>
      <c r="RE71" s="744">
        <f t="shared" si="361"/>
        <v>5.5555555555555566E-2</v>
      </c>
      <c r="RF71" s="744">
        <f t="shared" si="362"/>
        <v>5.5555555555555566E-2</v>
      </c>
      <c r="RG71" s="744">
        <f t="shared" si="363"/>
        <v>5.5555555555555566E-2</v>
      </c>
      <c r="RH71" s="744">
        <f t="shared" si="364"/>
        <v>5.5555555555555566E-2</v>
      </c>
      <c r="RI71" s="744">
        <f t="shared" si="365"/>
        <v>5.5555555555555566E-2</v>
      </c>
      <c r="RJ71" s="744">
        <f t="shared" si="366"/>
        <v>5.5555555555555566E-2</v>
      </c>
      <c r="RK71" s="744">
        <f t="shared" si="367"/>
        <v>5.5555555555555566E-2</v>
      </c>
      <c r="RL71" s="1251"/>
      <c r="RM71" s="744">
        <f t="shared" si="368"/>
        <v>5.5555555555555566E-2</v>
      </c>
      <c r="RN71" s="744">
        <f t="shared" si="369"/>
        <v>5.5555555555555566E-2</v>
      </c>
      <c r="RO71" s="744">
        <f t="shared" si="370"/>
        <v>5.5555555555555566E-2</v>
      </c>
      <c r="RP71" s="744">
        <f t="shared" si="371"/>
        <v>5.5555555555555566E-2</v>
      </c>
      <c r="RQ71" s="744">
        <f t="shared" si="372"/>
        <v>5.5555555555555566E-2</v>
      </c>
      <c r="RR71" s="744">
        <f t="shared" si="373"/>
        <v>5.5555555555555566E-2</v>
      </c>
      <c r="RS71" s="744">
        <f t="shared" si="374"/>
        <v>5.5555555555555566E-2</v>
      </c>
      <c r="RT71" s="744">
        <f t="shared" si="375"/>
        <v>5.5555555555555566E-2</v>
      </c>
      <c r="RU71" s="744">
        <f t="shared" si="376"/>
        <v>5.5555555555555566E-2</v>
      </c>
      <c r="RV71" s="744"/>
      <c r="RW71" s="744">
        <f t="shared" si="377"/>
        <v>5.5555555555555566E-2</v>
      </c>
      <c r="RX71" s="744">
        <f t="shared" si="378"/>
        <v>5.5555555555555566E-2</v>
      </c>
      <c r="RY71" s="744">
        <f t="shared" si="379"/>
        <v>5.5555555555555566E-2</v>
      </c>
      <c r="RZ71" s="744">
        <f t="shared" si="380"/>
        <v>5.5555555555555566E-2</v>
      </c>
      <c r="SA71" s="744">
        <f t="shared" si="381"/>
        <v>5.5555555555555566E-2</v>
      </c>
      <c r="SB71" s="744">
        <f t="shared" si="382"/>
        <v>5.5555555555555566E-2</v>
      </c>
      <c r="SC71" s="744">
        <f t="shared" si="383"/>
        <v>5.5555555555555566E-2</v>
      </c>
      <c r="SD71" s="744">
        <f t="shared" si="384"/>
        <v>5.5555555555555566E-2</v>
      </c>
      <c r="SE71" s="744">
        <f t="shared" si="385"/>
        <v>5.5555555555555566E-2</v>
      </c>
      <c r="SF71" s="744"/>
      <c r="SG71" s="744">
        <f t="shared" si="386"/>
        <v>5.5555555555555566E-2</v>
      </c>
      <c r="SH71" s="744">
        <f t="shared" si="387"/>
        <v>5.5555555555555566E-2</v>
      </c>
      <c r="SI71" s="744">
        <f t="shared" si="388"/>
        <v>5.5555555555555566E-2</v>
      </c>
      <c r="SJ71" s="744">
        <f t="shared" si="389"/>
        <v>5.5555555555555566E-2</v>
      </c>
      <c r="SK71" s="744">
        <f t="shared" si="390"/>
        <v>5.5555555555555566E-2</v>
      </c>
      <c r="SL71" s="744">
        <f t="shared" si="391"/>
        <v>5.5555555555555566E-2</v>
      </c>
      <c r="SM71" s="744">
        <f t="shared" si="392"/>
        <v>5.5555555555555566E-2</v>
      </c>
      <c r="SN71" s="744">
        <f t="shared" si="393"/>
        <v>5.5555555555555566E-2</v>
      </c>
      <c r="SO71" s="744">
        <f t="shared" si="394"/>
        <v>5.5555555555555566E-2</v>
      </c>
      <c r="SP71" s="100"/>
      <c r="SQ71" s="114"/>
      <c r="SR71" s="806">
        <f t="shared" si="431"/>
        <v>0.49999999999999994</v>
      </c>
      <c r="SS71" s="806">
        <f t="shared" si="432"/>
        <v>0.49999999999999994</v>
      </c>
      <c r="ST71" s="806">
        <f t="shared" si="433"/>
        <v>0.49999999999999994</v>
      </c>
      <c r="SU71" s="806">
        <f t="shared" si="434"/>
        <v>0.49999999999999994</v>
      </c>
      <c r="SV71" s="806">
        <f t="shared" si="435"/>
        <v>0.49999999999999994</v>
      </c>
      <c r="SW71" s="806">
        <f t="shared" si="436"/>
        <v>0.49999999999999994</v>
      </c>
      <c r="SX71" s="806">
        <f t="shared" si="437"/>
        <v>0.49999999999999994</v>
      </c>
      <c r="SY71" s="806">
        <f t="shared" si="438"/>
        <v>0.49999999999999994</v>
      </c>
      <c r="SZ71" s="806">
        <f t="shared" si="439"/>
        <v>0.49999999999999994</v>
      </c>
      <c r="TA71" s="806"/>
      <c r="TB71" s="806">
        <f t="shared" si="440"/>
        <v>0.49999999999999994</v>
      </c>
      <c r="TC71" s="806">
        <f t="shared" si="441"/>
        <v>0.49999999999999994</v>
      </c>
      <c r="TD71" s="806">
        <f t="shared" si="442"/>
        <v>0.49999999999999994</v>
      </c>
      <c r="TE71" s="806">
        <f t="shared" si="443"/>
        <v>0.49999999999999994</v>
      </c>
      <c r="TF71" s="806">
        <f t="shared" si="444"/>
        <v>0.49999999999999994</v>
      </c>
      <c r="TG71" s="806">
        <f t="shared" si="445"/>
        <v>0.49999999999999994</v>
      </c>
      <c r="TH71" s="806">
        <f t="shared" si="446"/>
        <v>0.49999999999999994</v>
      </c>
      <c r="TI71" s="806">
        <f t="shared" si="447"/>
        <v>0.49999999999999994</v>
      </c>
      <c r="TJ71" s="806">
        <f t="shared" si="448"/>
        <v>0.49999999999999994</v>
      </c>
      <c r="TK71" s="806"/>
      <c r="TL71" s="806">
        <f t="shared" si="449"/>
        <v>0.49999999999999994</v>
      </c>
      <c r="TM71" s="806">
        <f t="shared" si="450"/>
        <v>0.49999999999999994</v>
      </c>
      <c r="TN71" s="806">
        <f t="shared" si="451"/>
        <v>0.49999999999999994</v>
      </c>
      <c r="TO71" s="806">
        <f t="shared" si="452"/>
        <v>0.49999999999999994</v>
      </c>
      <c r="TP71" s="806">
        <f t="shared" si="453"/>
        <v>0.49999999999999994</v>
      </c>
      <c r="TQ71" s="806">
        <f t="shared" si="454"/>
        <v>0.49999999999999994</v>
      </c>
      <c r="TR71" s="806">
        <f t="shared" si="455"/>
        <v>0.49999999999999994</v>
      </c>
      <c r="TS71" s="806">
        <f t="shared" si="456"/>
        <v>0.49999999999999994</v>
      </c>
      <c r="TT71" s="806">
        <f t="shared" si="457"/>
        <v>0.49999999999999994</v>
      </c>
      <c r="TU71" s="806"/>
      <c r="TV71" s="806">
        <f t="shared" si="458"/>
        <v>0.49999999999999994</v>
      </c>
      <c r="TW71" s="806">
        <f t="shared" si="459"/>
        <v>0.49999999999999994</v>
      </c>
      <c r="TX71" s="806">
        <f t="shared" si="460"/>
        <v>0.49999999999999994</v>
      </c>
      <c r="TY71" s="806">
        <f t="shared" si="461"/>
        <v>0.49999999999999994</v>
      </c>
      <c r="TZ71" s="806">
        <f t="shared" si="462"/>
        <v>0.49999999999999994</v>
      </c>
      <c r="UA71" s="806">
        <f t="shared" si="463"/>
        <v>0.49999999999999994</v>
      </c>
      <c r="UB71" s="806">
        <f t="shared" si="464"/>
        <v>0.49999999999999994</v>
      </c>
      <c r="UC71" s="806">
        <f t="shared" si="465"/>
        <v>0.49999999999999994</v>
      </c>
      <c r="UD71" s="1439">
        <f t="shared" si="466"/>
        <v>0.49999999999999994</v>
      </c>
    </row>
    <row r="72" spans="3:550" s="7" customFormat="1" x14ac:dyDescent="0.25">
      <c r="C72" s="21"/>
      <c r="D72" s="1308">
        <v>44047</v>
      </c>
      <c r="E72" s="233">
        <v>0</v>
      </c>
      <c r="F72" s="1392">
        <v>0</v>
      </c>
      <c r="G72" s="1392">
        <v>0</v>
      </c>
      <c r="H72" s="1392">
        <v>0</v>
      </c>
      <c r="I72" s="1392">
        <v>0</v>
      </c>
      <c r="J72" s="1392">
        <v>0</v>
      </c>
      <c r="K72" s="1392">
        <v>0</v>
      </c>
      <c r="L72" s="1392">
        <v>0</v>
      </c>
      <c r="M72" s="1392">
        <v>0</v>
      </c>
      <c r="N72" s="1392">
        <v>0</v>
      </c>
      <c r="O72" s="1392">
        <v>0</v>
      </c>
      <c r="P72" s="1392">
        <v>0</v>
      </c>
      <c r="Q72" s="1392">
        <v>0</v>
      </c>
      <c r="R72" s="1392">
        <v>0</v>
      </c>
      <c r="S72" s="1392">
        <v>0</v>
      </c>
      <c r="T72" s="1392">
        <v>0</v>
      </c>
      <c r="U72" s="1392">
        <v>0</v>
      </c>
      <c r="V72" s="1392">
        <v>0</v>
      </c>
      <c r="W72" s="1392">
        <v>0</v>
      </c>
      <c r="X72" s="1392">
        <v>0</v>
      </c>
      <c r="Y72" s="1392">
        <v>0</v>
      </c>
      <c r="Z72" s="1392">
        <v>0</v>
      </c>
      <c r="AA72" s="1392">
        <v>0</v>
      </c>
      <c r="AB72" s="1392">
        <v>0</v>
      </c>
      <c r="AC72" s="1392">
        <v>0</v>
      </c>
      <c r="AD72" s="1392">
        <v>0</v>
      </c>
      <c r="AE72" s="1392">
        <v>0</v>
      </c>
      <c r="AF72" s="1392">
        <v>0</v>
      </c>
      <c r="AG72" s="1392">
        <v>0</v>
      </c>
      <c r="AH72" s="1392">
        <v>0</v>
      </c>
      <c r="AI72" s="1392">
        <v>0</v>
      </c>
      <c r="AJ72" s="1392">
        <v>0</v>
      </c>
      <c r="AK72" s="1392">
        <v>0</v>
      </c>
      <c r="AL72" s="1392">
        <v>0</v>
      </c>
      <c r="AM72" s="1392">
        <v>0</v>
      </c>
      <c r="AN72" s="1392">
        <v>0</v>
      </c>
      <c r="AO72" s="1392">
        <v>0</v>
      </c>
      <c r="AP72" s="1392">
        <v>0</v>
      </c>
      <c r="AQ72" s="1392">
        <v>0</v>
      </c>
      <c r="AR72" s="1392">
        <v>0</v>
      </c>
      <c r="AS72" s="1392">
        <v>0</v>
      </c>
      <c r="AT72" s="1392">
        <v>0</v>
      </c>
      <c r="AU72" s="1392">
        <v>0</v>
      </c>
      <c r="AV72" s="1392">
        <v>0</v>
      </c>
      <c r="AW72" s="1392">
        <v>0</v>
      </c>
      <c r="AX72" s="1392">
        <v>0</v>
      </c>
      <c r="AY72" s="1392">
        <v>0</v>
      </c>
      <c r="AZ72" s="1392">
        <v>0</v>
      </c>
      <c r="BA72" s="1392">
        <v>0</v>
      </c>
      <c r="BB72" s="1392">
        <v>0</v>
      </c>
      <c r="BC72" s="1392">
        <v>0</v>
      </c>
      <c r="BD72" s="1392">
        <v>0</v>
      </c>
      <c r="BE72" s="1392">
        <v>0</v>
      </c>
      <c r="BF72" s="1392">
        <v>0</v>
      </c>
      <c r="BG72" s="1392">
        <v>0</v>
      </c>
      <c r="BH72" s="1392">
        <v>0</v>
      </c>
      <c r="BI72" s="1392">
        <v>0</v>
      </c>
      <c r="BJ72" s="1392">
        <v>0</v>
      </c>
      <c r="BK72" s="1392">
        <v>0</v>
      </c>
      <c r="BL72" s="1392">
        <v>0</v>
      </c>
      <c r="BM72" s="1392">
        <v>0</v>
      </c>
      <c r="BN72" s="1392">
        <v>0</v>
      </c>
      <c r="BO72" s="1392">
        <v>0</v>
      </c>
      <c r="BP72" s="1392">
        <v>0</v>
      </c>
      <c r="BQ72" s="1392">
        <v>0</v>
      </c>
      <c r="BR72" s="1392">
        <v>0</v>
      </c>
      <c r="BS72" s="1392">
        <v>0</v>
      </c>
      <c r="BT72" s="1392">
        <v>0</v>
      </c>
      <c r="BU72" s="1392">
        <v>0</v>
      </c>
      <c r="BV72" s="1392">
        <v>0</v>
      </c>
      <c r="BW72" s="1392">
        <v>0</v>
      </c>
      <c r="BX72" s="1392">
        <v>0</v>
      </c>
      <c r="BY72" s="1392">
        <v>0</v>
      </c>
      <c r="BZ72" s="1392">
        <v>0</v>
      </c>
      <c r="CA72" s="1392">
        <v>0</v>
      </c>
      <c r="CB72" s="1392">
        <v>0</v>
      </c>
      <c r="CC72" s="1392">
        <v>0</v>
      </c>
      <c r="CD72" s="1392">
        <v>0</v>
      </c>
      <c r="CE72" s="1392">
        <v>0</v>
      </c>
      <c r="CF72" s="1392">
        <v>0</v>
      </c>
      <c r="CG72" s="1392">
        <v>0</v>
      </c>
      <c r="CH72" s="1392">
        <v>0</v>
      </c>
      <c r="CI72" s="1392">
        <v>0</v>
      </c>
      <c r="CJ72" s="1392">
        <v>0</v>
      </c>
      <c r="CK72" s="1392">
        <v>0</v>
      </c>
      <c r="CL72" s="1392">
        <v>0</v>
      </c>
      <c r="CM72" s="1392">
        <v>0</v>
      </c>
      <c r="CN72" s="1392">
        <v>0</v>
      </c>
      <c r="CO72" s="1392">
        <v>0</v>
      </c>
      <c r="CP72" s="1392">
        <v>0</v>
      </c>
      <c r="CQ72" s="1392">
        <v>0</v>
      </c>
      <c r="CR72" s="1392">
        <v>0</v>
      </c>
      <c r="CS72" s="1392">
        <v>0</v>
      </c>
      <c r="CT72" s="1392">
        <v>0</v>
      </c>
      <c r="CU72" s="1392">
        <v>0</v>
      </c>
      <c r="CV72" s="1392">
        <v>0</v>
      </c>
      <c r="CW72" s="1392">
        <v>0</v>
      </c>
      <c r="CX72" s="1392">
        <v>0</v>
      </c>
      <c r="CY72" s="1392">
        <v>0</v>
      </c>
      <c r="CZ72" s="1392">
        <v>0</v>
      </c>
      <c r="DA72" s="1392">
        <v>0</v>
      </c>
      <c r="DB72" s="1392">
        <v>0</v>
      </c>
      <c r="DC72" s="1392">
        <v>0</v>
      </c>
      <c r="DD72" s="1392">
        <v>0</v>
      </c>
      <c r="DE72" s="1392">
        <v>0</v>
      </c>
      <c r="DF72" s="1392">
        <v>0</v>
      </c>
      <c r="DG72" s="1392">
        <v>0</v>
      </c>
      <c r="DH72" s="1392">
        <v>0</v>
      </c>
      <c r="DI72" s="1392">
        <v>0</v>
      </c>
      <c r="DJ72" s="1392">
        <v>0</v>
      </c>
      <c r="DK72" s="1392">
        <v>0</v>
      </c>
      <c r="DL72" s="1392">
        <v>0</v>
      </c>
      <c r="DM72" s="1392">
        <v>0</v>
      </c>
      <c r="DN72" s="1392">
        <v>0</v>
      </c>
      <c r="DO72" s="1392">
        <v>0</v>
      </c>
      <c r="DP72" s="1392">
        <v>0</v>
      </c>
      <c r="DQ72" s="1392">
        <v>0</v>
      </c>
      <c r="DR72" s="1392">
        <v>0</v>
      </c>
      <c r="DS72" s="1392">
        <v>0</v>
      </c>
      <c r="DT72" s="1392">
        <v>0</v>
      </c>
      <c r="DU72" s="1392">
        <v>0</v>
      </c>
      <c r="DV72" s="1392">
        <v>0</v>
      </c>
      <c r="DW72" s="1392">
        <v>0</v>
      </c>
      <c r="DX72" s="1392">
        <v>0</v>
      </c>
      <c r="DY72" s="1392">
        <v>0</v>
      </c>
      <c r="DZ72" s="1392">
        <v>0</v>
      </c>
      <c r="EA72" s="1392">
        <v>0</v>
      </c>
      <c r="EB72" s="1392">
        <v>0</v>
      </c>
      <c r="EC72" s="1392">
        <v>0</v>
      </c>
      <c r="ED72" s="1392">
        <v>0</v>
      </c>
      <c r="EE72" s="1392">
        <v>0</v>
      </c>
      <c r="EF72" s="1392">
        <v>0</v>
      </c>
      <c r="EG72" s="1392">
        <v>0</v>
      </c>
      <c r="EH72" s="1392">
        <v>0</v>
      </c>
      <c r="EI72" s="1392">
        <v>0</v>
      </c>
      <c r="EJ72" s="1392">
        <v>0</v>
      </c>
      <c r="EK72" s="1392">
        <v>0</v>
      </c>
      <c r="EL72" s="1392">
        <v>0</v>
      </c>
      <c r="EM72" s="1392">
        <v>0</v>
      </c>
      <c r="EN72" s="1392">
        <v>0</v>
      </c>
      <c r="EO72" s="1392">
        <v>0</v>
      </c>
      <c r="EP72" s="1392">
        <v>0</v>
      </c>
      <c r="EQ72" s="1392">
        <v>0</v>
      </c>
      <c r="ER72" s="1393">
        <v>0</v>
      </c>
      <c r="ES72" s="377"/>
      <c r="ET72" s="316">
        <f t="shared" si="335"/>
        <v>1</v>
      </c>
      <c r="EU72" s="1392">
        <f t="shared" si="20"/>
        <v>1</v>
      </c>
      <c r="EV72" s="1392">
        <f t="shared" si="21"/>
        <v>1</v>
      </c>
      <c r="EW72" s="1392">
        <f t="shared" si="22"/>
        <v>1</v>
      </c>
      <c r="EX72" s="1392">
        <f t="shared" si="23"/>
        <v>1</v>
      </c>
      <c r="EY72" s="1392">
        <f t="shared" si="24"/>
        <v>1</v>
      </c>
      <c r="EZ72" s="1392">
        <f t="shared" si="25"/>
        <v>1</v>
      </c>
      <c r="FA72" s="1392">
        <f t="shared" si="26"/>
        <v>1</v>
      </c>
      <c r="FB72" s="1392">
        <f t="shared" si="27"/>
        <v>1</v>
      </c>
      <c r="FC72" s="1392">
        <f t="shared" si="28"/>
        <v>1</v>
      </c>
      <c r="FD72" s="1392">
        <f t="shared" si="29"/>
        <v>1</v>
      </c>
      <c r="FE72" s="1392">
        <f t="shared" si="30"/>
        <v>1</v>
      </c>
      <c r="FF72" s="1392">
        <f t="shared" si="31"/>
        <v>1</v>
      </c>
      <c r="FG72" s="1392">
        <f t="shared" si="32"/>
        <v>1</v>
      </c>
      <c r="FH72" s="1392">
        <f t="shared" si="33"/>
        <v>1</v>
      </c>
      <c r="FI72" s="1392">
        <f t="shared" si="34"/>
        <v>1</v>
      </c>
      <c r="FJ72" s="1392">
        <f t="shared" si="35"/>
        <v>1</v>
      </c>
      <c r="FK72" s="1392">
        <f t="shared" si="36"/>
        <v>1</v>
      </c>
      <c r="FL72" s="1392">
        <f t="shared" si="37"/>
        <v>1</v>
      </c>
      <c r="FM72" s="1392">
        <f t="shared" si="38"/>
        <v>1</v>
      </c>
      <c r="FN72" s="1392">
        <f t="shared" si="39"/>
        <v>1</v>
      </c>
      <c r="FO72" s="1392">
        <f t="shared" si="40"/>
        <v>1</v>
      </c>
      <c r="FP72" s="1392">
        <f t="shared" si="41"/>
        <v>1</v>
      </c>
      <c r="FQ72" s="1392">
        <f t="shared" si="42"/>
        <v>1</v>
      </c>
      <c r="FR72" s="1392">
        <f t="shared" si="43"/>
        <v>1</v>
      </c>
      <c r="FS72" s="1392">
        <f t="shared" si="44"/>
        <v>1</v>
      </c>
      <c r="FT72" s="1392">
        <f t="shared" si="45"/>
        <v>1</v>
      </c>
      <c r="FU72" s="1392">
        <f t="shared" si="46"/>
        <v>1</v>
      </c>
      <c r="FV72" s="1392">
        <f t="shared" si="47"/>
        <v>1</v>
      </c>
      <c r="FW72" s="1392">
        <f t="shared" si="48"/>
        <v>1</v>
      </c>
      <c r="FX72" s="1392">
        <f t="shared" si="49"/>
        <v>1</v>
      </c>
      <c r="FY72" s="1392">
        <f t="shared" si="50"/>
        <v>1</v>
      </c>
      <c r="FZ72" s="1392">
        <f t="shared" si="51"/>
        <v>1</v>
      </c>
      <c r="GA72" s="1392">
        <f t="shared" si="52"/>
        <v>1</v>
      </c>
      <c r="GB72" s="1392">
        <f t="shared" si="53"/>
        <v>1</v>
      </c>
      <c r="GC72" s="1392">
        <f t="shared" si="54"/>
        <v>1</v>
      </c>
      <c r="GD72" s="1392">
        <f t="shared" si="55"/>
        <v>1</v>
      </c>
      <c r="GE72" s="1392">
        <f t="shared" si="56"/>
        <v>1</v>
      </c>
      <c r="GF72" s="1392">
        <f t="shared" si="57"/>
        <v>1</v>
      </c>
      <c r="GG72" s="1392">
        <f t="shared" si="58"/>
        <v>1</v>
      </c>
      <c r="GH72" s="1392">
        <f t="shared" si="59"/>
        <v>1</v>
      </c>
      <c r="GI72" s="1392">
        <f t="shared" si="60"/>
        <v>1</v>
      </c>
      <c r="GJ72" s="1392">
        <f t="shared" si="61"/>
        <v>1</v>
      </c>
      <c r="GK72" s="1392">
        <f t="shared" si="62"/>
        <v>1</v>
      </c>
      <c r="GL72" s="1392">
        <f t="shared" si="63"/>
        <v>1</v>
      </c>
      <c r="GM72" s="1392">
        <f t="shared" si="64"/>
        <v>1</v>
      </c>
      <c r="GN72" s="1392">
        <f t="shared" si="65"/>
        <v>1</v>
      </c>
      <c r="GO72" s="1392">
        <f t="shared" si="66"/>
        <v>1</v>
      </c>
      <c r="GP72" s="1392">
        <f t="shared" si="67"/>
        <v>1</v>
      </c>
      <c r="GQ72" s="1392">
        <f t="shared" si="68"/>
        <v>1</v>
      </c>
      <c r="GR72" s="1392">
        <f t="shared" si="69"/>
        <v>1</v>
      </c>
      <c r="GS72" s="1392">
        <f t="shared" si="70"/>
        <v>1</v>
      </c>
      <c r="GT72" s="1392">
        <f t="shared" si="71"/>
        <v>1</v>
      </c>
      <c r="GU72" s="1392">
        <f t="shared" si="72"/>
        <v>1</v>
      </c>
      <c r="GV72" s="1392">
        <f t="shared" si="73"/>
        <v>1</v>
      </c>
      <c r="GW72" s="1392">
        <f t="shared" si="74"/>
        <v>1</v>
      </c>
      <c r="GX72" s="1392">
        <f t="shared" si="75"/>
        <v>1</v>
      </c>
      <c r="GY72" s="1392">
        <f t="shared" si="76"/>
        <v>1</v>
      </c>
      <c r="GZ72" s="1392">
        <f t="shared" si="77"/>
        <v>1</v>
      </c>
      <c r="HA72" s="1392">
        <f t="shared" si="78"/>
        <v>1</v>
      </c>
      <c r="HB72" s="1392">
        <f t="shared" si="79"/>
        <v>1</v>
      </c>
      <c r="HC72" s="1392">
        <f t="shared" si="80"/>
        <v>1</v>
      </c>
      <c r="HD72" s="1392">
        <f t="shared" si="81"/>
        <v>1</v>
      </c>
      <c r="HE72" s="1392">
        <f t="shared" si="82"/>
        <v>1</v>
      </c>
      <c r="HF72" s="1392">
        <f t="shared" si="83"/>
        <v>1</v>
      </c>
      <c r="HG72" s="1392">
        <f t="shared" si="84"/>
        <v>1</v>
      </c>
      <c r="HH72" s="1392">
        <f t="shared" si="85"/>
        <v>1</v>
      </c>
      <c r="HI72" s="1392">
        <f t="shared" si="86"/>
        <v>1</v>
      </c>
      <c r="HJ72" s="1392">
        <f t="shared" si="87"/>
        <v>1</v>
      </c>
      <c r="HK72" s="1392">
        <f t="shared" si="88"/>
        <v>1</v>
      </c>
      <c r="HL72" s="1392">
        <f t="shared" si="89"/>
        <v>1</v>
      </c>
      <c r="HM72" s="1392">
        <f t="shared" si="90"/>
        <v>1</v>
      </c>
      <c r="HN72" s="1392">
        <f t="shared" si="91"/>
        <v>1</v>
      </c>
      <c r="HO72" s="1392">
        <f t="shared" si="92"/>
        <v>1</v>
      </c>
      <c r="HP72" s="1392">
        <f t="shared" si="93"/>
        <v>1</v>
      </c>
      <c r="HQ72" s="1392">
        <f t="shared" si="94"/>
        <v>1</v>
      </c>
      <c r="HR72" s="1392">
        <f t="shared" si="95"/>
        <v>1</v>
      </c>
      <c r="HS72" s="1392">
        <f t="shared" si="96"/>
        <v>1</v>
      </c>
      <c r="HT72" s="1392">
        <f t="shared" si="97"/>
        <v>1</v>
      </c>
      <c r="HU72" s="1392">
        <f t="shared" si="98"/>
        <v>1</v>
      </c>
      <c r="HV72" s="1392">
        <f t="shared" si="99"/>
        <v>1</v>
      </c>
      <c r="HW72" s="1392">
        <f t="shared" si="100"/>
        <v>1</v>
      </c>
      <c r="HX72" s="1392">
        <f t="shared" si="101"/>
        <v>1</v>
      </c>
      <c r="HY72" s="1392">
        <f t="shared" si="102"/>
        <v>1</v>
      </c>
      <c r="HZ72" s="1392">
        <f t="shared" si="103"/>
        <v>1</v>
      </c>
      <c r="IA72" s="1392">
        <f t="shared" si="104"/>
        <v>1</v>
      </c>
      <c r="IB72" s="1392">
        <f t="shared" si="105"/>
        <v>1</v>
      </c>
      <c r="IC72" s="1392">
        <f t="shared" si="106"/>
        <v>1</v>
      </c>
      <c r="ID72" s="1392">
        <f t="shared" si="107"/>
        <v>1</v>
      </c>
      <c r="IE72" s="1392">
        <f t="shared" si="108"/>
        <v>1</v>
      </c>
      <c r="IF72" s="1392">
        <f t="shared" si="109"/>
        <v>1</v>
      </c>
      <c r="IG72" s="1392">
        <f t="shared" si="110"/>
        <v>1</v>
      </c>
      <c r="IH72" s="1392">
        <f t="shared" si="111"/>
        <v>1</v>
      </c>
      <c r="II72" s="1392">
        <f t="shared" si="112"/>
        <v>1</v>
      </c>
      <c r="IJ72" s="1392">
        <f t="shared" si="113"/>
        <v>1</v>
      </c>
      <c r="IK72" s="1392">
        <f t="shared" si="114"/>
        <v>1</v>
      </c>
      <c r="IL72" s="1392">
        <f t="shared" si="115"/>
        <v>1</v>
      </c>
      <c r="IM72" s="1392">
        <f t="shared" si="116"/>
        <v>1</v>
      </c>
      <c r="IN72" s="1392">
        <f t="shared" si="117"/>
        <v>1</v>
      </c>
      <c r="IO72" s="1392">
        <f t="shared" si="118"/>
        <v>1</v>
      </c>
      <c r="IP72" s="1392">
        <f t="shared" si="119"/>
        <v>1</v>
      </c>
      <c r="IQ72" s="1392">
        <f t="shared" si="120"/>
        <v>1</v>
      </c>
      <c r="IR72" s="1392">
        <f t="shared" si="121"/>
        <v>1</v>
      </c>
      <c r="IS72" s="1392">
        <f t="shared" si="122"/>
        <v>1</v>
      </c>
      <c r="IT72" s="1392">
        <f t="shared" si="123"/>
        <v>1</v>
      </c>
      <c r="IU72" s="1392">
        <f t="shared" si="124"/>
        <v>1</v>
      </c>
      <c r="IV72" s="1392">
        <f t="shared" si="125"/>
        <v>1</v>
      </c>
      <c r="IW72" s="1392">
        <f t="shared" si="126"/>
        <v>1</v>
      </c>
      <c r="IX72" s="1392">
        <f t="shared" si="127"/>
        <v>1</v>
      </c>
      <c r="IY72" s="1392">
        <f t="shared" si="128"/>
        <v>1</v>
      </c>
      <c r="IZ72" s="1392">
        <f t="shared" si="129"/>
        <v>1</v>
      </c>
      <c r="JA72" s="1392">
        <f t="shared" si="130"/>
        <v>1</v>
      </c>
      <c r="JB72" s="1392">
        <f t="shared" si="131"/>
        <v>1</v>
      </c>
      <c r="JC72" s="1392">
        <f t="shared" si="132"/>
        <v>1</v>
      </c>
      <c r="JD72" s="1392">
        <f t="shared" si="133"/>
        <v>1</v>
      </c>
      <c r="JE72" s="1392">
        <f t="shared" si="134"/>
        <v>1</v>
      </c>
      <c r="JF72" s="1392">
        <f t="shared" si="135"/>
        <v>1</v>
      </c>
      <c r="JG72" s="1392">
        <f t="shared" si="136"/>
        <v>1</v>
      </c>
      <c r="JH72" s="1392">
        <f t="shared" si="137"/>
        <v>1</v>
      </c>
      <c r="JI72" s="1392">
        <f t="shared" si="138"/>
        <v>1</v>
      </c>
      <c r="JJ72" s="1392">
        <f t="shared" si="139"/>
        <v>1</v>
      </c>
      <c r="JK72" s="1392">
        <f t="shared" si="140"/>
        <v>1</v>
      </c>
      <c r="JL72" s="1392">
        <f t="shared" si="141"/>
        <v>1</v>
      </c>
      <c r="JM72" s="1392">
        <f t="shared" si="142"/>
        <v>1</v>
      </c>
      <c r="JN72" s="1392">
        <f t="shared" si="143"/>
        <v>1</v>
      </c>
      <c r="JO72" s="1392">
        <f t="shared" si="144"/>
        <v>1</v>
      </c>
      <c r="JP72" s="1392">
        <f t="shared" si="145"/>
        <v>1</v>
      </c>
      <c r="JQ72" s="1392">
        <f t="shared" si="146"/>
        <v>1</v>
      </c>
      <c r="JR72" s="1392">
        <f t="shared" si="147"/>
        <v>1</v>
      </c>
      <c r="JS72" s="1392">
        <f t="shared" si="148"/>
        <v>1</v>
      </c>
      <c r="JT72" s="1392">
        <f t="shared" si="149"/>
        <v>1</v>
      </c>
      <c r="JU72" s="1392">
        <f t="shared" si="150"/>
        <v>1</v>
      </c>
      <c r="JV72" s="1392">
        <f t="shared" si="151"/>
        <v>1</v>
      </c>
      <c r="JW72" s="1392">
        <f t="shared" si="152"/>
        <v>1</v>
      </c>
      <c r="JX72" s="1392">
        <f t="shared" si="153"/>
        <v>1</v>
      </c>
      <c r="JY72" s="1392">
        <f t="shared" si="154"/>
        <v>1</v>
      </c>
      <c r="JZ72" s="1392">
        <f t="shared" si="155"/>
        <v>1</v>
      </c>
      <c r="KA72" s="1392">
        <f t="shared" si="156"/>
        <v>1</v>
      </c>
      <c r="KB72" s="1392">
        <f t="shared" si="157"/>
        <v>1</v>
      </c>
      <c r="KC72" s="1392">
        <f t="shared" si="158"/>
        <v>1</v>
      </c>
      <c r="KD72" s="1392">
        <f t="shared" si="159"/>
        <v>1</v>
      </c>
      <c r="KE72" s="1392">
        <f t="shared" si="160"/>
        <v>1</v>
      </c>
      <c r="KF72" s="1392">
        <f t="shared" si="161"/>
        <v>1</v>
      </c>
      <c r="KG72" s="1399">
        <f t="shared" si="162"/>
        <v>1</v>
      </c>
      <c r="KH72" s="1406">
        <f t="shared" si="163"/>
        <v>144</v>
      </c>
      <c r="KI72" s="377"/>
      <c r="KJ72" s="1444">
        <f t="shared" si="164"/>
        <v>19.879253198304003</v>
      </c>
      <c r="KK72" s="49">
        <f t="shared" si="165"/>
        <v>0</v>
      </c>
      <c r="KL72" s="377"/>
      <c r="KM72" s="908">
        <f t="shared" si="166"/>
        <v>6.9444444444444441E-3</v>
      </c>
      <c r="KN72" s="1411">
        <f t="shared" si="167"/>
        <v>6.9444444444444441E-3</v>
      </c>
      <c r="KO72" s="1411">
        <f t="shared" si="168"/>
        <v>6.9444444444444441E-3</v>
      </c>
      <c r="KP72" s="1411">
        <f t="shared" si="169"/>
        <v>6.9444444444444441E-3</v>
      </c>
      <c r="KQ72" s="1411">
        <f t="shared" si="170"/>
        <v>6.9444444444444441E-3</v>
      </c>
      <c r="KR72" s="1411">
        <f t="shared" si="171"/>
        <v>6.9444444444444441E-3</v>
      </c>
      <c r="KS72" s="1411">
        <f t="shared" si="172"/>
        <v>6.9444444444444441E-3</v>
      </c>
      <c r="KT72" s="1411">
        <f t="shared" si="173"/>
        <v>6.9444444444444441E-3</v>
      </c>
      <c r="KU72" s="1411">
        <f t="shared" si="174"/>
        <v>6.9444444444444441E-3</v>
      </c>
      <c r="KV72" s="1411">
        <f t="shared" si="175"/>
        <v>6.9444444444444441E-3</v>
      </c>
      <c r="KW72" s="1411">
        <f t="shared" si="176"/>
        <v>6.9444444444444441E-3</v>
      </c>
      <c r="KX72" s="1411">
        <f t="shared" si="177"/>
        <v>6.9444444444444441E-3</v>
      </c>
      <c r="KY72" s="1411">
        <f t="shared" si="178"/>
        <v>6.9444444444444441E-3</v>
      </c>
      <c r="KZ72" s="1411">
        <f t="shared" si="179"/>
        <v>6.9444444444444441E-3</v>
      </c>
      <c r="LA72" s="1411">
        <f t="shared" si="180"/>
        <v>6.9444444444444441E-3</v>
      </c>
      <c r="LB72" s="1411">
        <f t="shared" si="181"/>
        <v>6.9444444444444441E-3</v>
      </c>
      <c r="LC72" s="1411">
        <f t="shared" si="182"/>
        <v>6.9444444444444441E-3</v>
      </c>
      <c r="LD72" s="1411">
        <f t="shared" si="183"/>
        <v>6.9444444444444441E-3</v>
      </c>
      <c r="LE72" s="1411">
        <f t="shared" si="184"/>
        <v>6.9444444444444441E-3</v>
      </c>
      <c r="LF72" s="1411">
        <f t="shared" si="185"/>
        <v>6.9444444444444441E-3</v>
      </c>
      <c r="LG72" s="1411">
        <f t="shared" si="186"/>
        <v>6.9444444444444441E-3</v>
      </c>
      <c r="LH72" s="1411">
        <f t="shared" si="187"/>
        <v>6.9444444444444441E-3</v>
      </c>
      <c r="LI72" s="1411">
        <f t="shared" si="188"/>
        <v>6.9444444444444441E-3</v>
      </c>
      <c r="LJ72" s="1411">
        <f t="shared" si="189"/>
        <v>6.9444444444444441E-3</v>
      </c>
      <c r="LK72" s="1411">
        <f t="shared" si="190"/>
        <v>6.9444444444444441E-3</v>
      </c>
      <c r="LL72" s="1411">
        <f t="shared" si="191"/>
        <v>6.9444444444444441E-3</v>
      </c>
      <c r="LM72" s="1411">
        <f t="shared" si="192"/>
        <v>6.9444444444444441E-3</v>
      </c>
      <c r="LN72" s="1411">
        <f t="shared" si="193"/>
        <v>6.9444444444444441E-3</v>
      </c>
      <c r="LO72" s="1411">
        <f t="shared" si="194"/>
        <v>6.9444444444444441E-3</v>
      </c>
      <c r="LP72" s="1411">
        <f t="shared" si="195"/>
        <v>6.9444444444444441E-3</v>
      </c>
      <c r="LQ72" s="1411">
        <f t="shared" si="196"/>
        <v>6.9444444444444441E-3</v>
      </c>
      <c r="LR72" s="1411">
        <f t="shared" si="197"/>
        <v>6.9444444444444441E-3</v>
      </c>
      <c r="LS72" s="1411">
        <f t="shared" si="198"/>
        <v>6.9444444444444441E-3</v>
      </c>
      <c r="LT72" s="1411">
        <f t="shared" si="199"/>
        <v>6.9444444444444441E-3</v>
      </c>
      <c r="LU72" s="1411">
        <f t="shared" si="200"/>
        <v>6.9444444444444441E-3</v>
      </c>
      <c r="LV72" s="1411">
        <f t="shared" si="201"/>
        <v>6.9444444444444441E-3</v>
      </c>
      <c r="LW72" s="1411">
        <f t="shared" si="202"/>
        <v>6.9444444444444441E-3</v>
      </c>
      <c r="LX72" s="1411">
        <f t="shared" si="203"/>
        <v>6.9444444444444441E-3</v>
      </c>
      <c r="LY72" s="1411">
        <f t="shared" si="204"/>
        <v>6.9444444444444441E-3</v>
      </c>
      <c r="LZ72" s="1411">
        <f t="shared" si="205"/>
        <v>6.9444444444444441E-3</v>
      </c>
      <c r="MA72" s="1411">
        <f t="shared" si="206"/>
        <v>6.9444444444444441E-3</v>
      </c>
      <c r="MB72" s="1411">
        <f t="shared" si="207"/>
        <v>6.9444444444444441E-3</v>
      </c>
      <c r="MC72" s="1411">
        <f t="shared" si="208"/>
        <v>6.9444444444444441E-3</v>
      </c>
      <c r="MD72" s="1411">
        <f t="shared" si="209"/>
        <v>6.9444444444444441E-3</v>
      </c>
      <c r="ME72" s="1411">
        <f t="shared" si="210"/>
        <v>6.9444444444444441E-3</v>
      </c>
      <c r="MF72" s="1411">
        <f t="shared" si="211"/>
        <v>6.9444444444444441E-3</v>
      </c>
      <c r="MG72" s="1411">
        <f t="shared" si="212"/>
        <v>6.9444444444444441E-3</v>
      </c>
      <c r="MH72" s="1411">
        <f t="shared" si="213"/>
        <v>6.9444444444444441E-3</v>
      </c>
      <c r="MI72" s="1411">
        <f t="shared" si="214"/>
        <v>6.9444444444444441E-3</v>
      </c>
      <c r="MJ72" s="1411">
        <f t="shared" si="215"/>
        <v>6.9444444444444441E-3</v>
      </c>
      <c r="MK72" s="1411">
        <f t="shared" si="216"/>
        <v>6.9444444444444441E-3</v>
      </c>
      <c r="ML72" s="1411">
        <f t="shared" si="217"/>
        <v>6.9444444444444441E-3</v>
      </c>
      <c r="MM72" s="1411">
        <f t="shared" si="218"/>
        <v>6.9444444444444441E-3</v>
      </c>
      <c r="MN72" s="1411">
        <f t="shared" si="219"/>
        <v>6.9444444444444441E-3</v>
      </c>
      <c r="MO72" s="1411">
        <f t="shared" si="220"/>
        <v>6.9444444444444441E-3</v>
      </c>
      <c r="MP72" s="1411">
        <f t="shared" si="221"/>
        <v>6.9444444444444441E-3</v>
      </c>
      <c r="MQ72" s="1411">
        <f t="shared" si="222"/>
        <v>6.9444444444444441E-3</v>
      </c>
      <c r="MR72" s="1411">
        <f t="shared" si="223"/>
        <v>6.9444444444444441E-3</v>
      </c>
      <c r="MS72" s="1411">
        <f t="shared" si="224"/>
        <v>6.9444444444444441E-3</v>
      </c>
      <c r="MT72" s="1411">
        <f t="shared" si="225"/>
        <v>6.9444444444444441E-3</v>
      </c>
      <c r="MU72" s="1411">
        <f t="shared" si="226"/>
        <v>6.9444444444444441E-3</v>
      </c>
      <c r="MV72" s="1411">
        <f t="shared" si="227"/>
        <v>6.9444444444444441E-3</v>
      </c>
      <c r="MW72" s="1411">
        <f t="shared" si="228"/>
        <v>6.9444444444444441E-3</v>
      </c>
      <c r="MX72" s="1411">
        <f t="shared" si="229"/>
        <v>6.9444444444444441E-3</v>
      </c>
      <c r="MY72" s="1411">
        <f t="shared" si="230"/>
        <v>6.9444444444444441E-3</v>
      </c>
      <c r="MZ72" s="1411">
        <f t="shared" si="231"/>
        <v>6.9444444444444441E-3</v>
      </c>
      <c r="NA72" s="1411">
        <f t="shared" si="232"/>
        <v>6.9444444444444441E-3</v>
      </c>
      <c r="NB72" s="1411">
        <f t="shared" si="233"/>
        <v>6.9444444444444441E-3</v>
      </c>
      <c r="NC72" s="1411">
        <f t="shared" si="234"/>
        <v>6.9444444444444441E-3</v>
      </c>
      <c r="ND72" s="1411">
        <f t="shared" si="235"/>
        <v>6.9444444444444441E-3</v>
      </c>
      <c r="NE72" s="1411">
        <f t="shared" si="236"/>
        <v>6.9444444444444441E-3</v>
      </c>
      <c r="NF72" s="1411">
        <f t="shared" si="237"/>
        <v>6.9444444444444441E-3</v>
      </c>
      <c r="NG72" s="1411">
        <f t="shared" si="238"/>
        <v>6.9444444444444441E-3</v>
      </c>
      <c r="NH72" s="1411">
        <f t="shared" si="239"/>
        <v>6.9444444444444441E-3</v>
      </c>
      <c r="NI72" s="1411">
        <f t="shared" si="240"/>
        <v>6.9444444444444441E-3</v>
      </c>
      <c r="NJ72" s="1411">
        <f t="shared" si="241"/>
        <v>6.9444444444444441E-3</v>
      </c>
      <c r="NK72" s="1411">
        <f t="shared" si="242"/>
        <v>6.9444444444444441E-3</v>
      </c>
      <c r="NL72" s="1411">
        <f t="shared" si="243"/>
        <v>6.9444444444444441E-3</v>
      </c>
      <c r="NM72" s="1411">
        <f t="shared" si="244"/>
        <v>6.9444444444444441E-3</v>
      </c>
      <c r="NN72" s="1411">
        <f t="shared" si="245"/>
        <v>6.9444444444444441E-3</v>
      </c>
      <c r="NO72" s="1411">
        <f t="shared" si="246"/>
        <v>6.9444444444444441E-3</v>
      </c>
      <c r="NP72" s="1411">
        <f t="shared" si="247"/>
        <v>6.9444444444444441E-3</v>
      </c>
      <c r="NQ72" s="1411">
        <f t="shared" si="248"/>
        <v>6.9444444444444441E-3</v>
      </c>
      <c r="NR72" s="1411">
        <f t="shared" si="249"/>
        <v>6.9444444444444441E-3</v>
      </c>
      <c r="NS72" s="1411">
        <f t="shared" si="250"/>
        <v>6.9444444444444441E-3</v>
      </c>
      <c r="NT72" s="1411">
        <f t="shared" si="251"/>
        <v>6.9444444444444441E-3</v>
      </c>
      <c r="NU72" s="1411">
        <f t="shared" si="252"/>
        <v>6.9444444444444441E-3</v>
      </c>
      <c r="NV72" s="1411">
        <f t="shared" si="253"/>
        <v>6.9444444444444441E-3</v>
      </c>
      <c r="NW72" s="1411">
        <f t="shared" si="254"/>
        <v>6.9444444444444441E-3</v>
      </c>
      <c r="NX72" s="1411">
        <f t="shared" si="255"/>
        <v>6.9444444444444441E-3</v>
      </c>
      <c r="NY72" s="1411">
        <f t="shared" si="256"/>
        <v>6.9444444444444441E-3</v>
      </c>
      <c r="NZ72" s="1411">
        <f t="shared" si="257"/>
        <v>6.9444444444444441E-3</v>
      </c>
      <c r="OA72" s="1411">
        <f t="shared" si="258"/>
        <v>6.9444444444444441E-3</v>
      </c>
      <c r="OB72" s="1411">
        <f t="shared" si="259"/>
        <v>6.9444444444444441E-3</v>
      </c>
      <c r="OC72" s="1411">
        <f t="shared" si="260"/>
        <v>6.9444444444444441E-3</v>
      </c>
      <c r="OD72" s="1411">
        <f t="shared" si="261"/>
        <v>6.9444444444444441E-3</v>
      </c>
      <c r="OE72" s="1411">
        <f t="shared" si="262"/>
        <v>6.9444444444444441E-3</v>
      </c>
      <c r="OF72" s="1411">
        <f t="shared" si="263"/>
        <v>6.9444444444444441E-3</v>
      </c>
      <c r="OG72" s="1411">
        <f t="shared" si="264"/>
        <v>6.9444444444444441E-3</v>
      </c>
      <c r="OH72" s="1411">
        <f t="shared" si="265"/>
        <v>6.9444444444444441E-3</v>
      </c>
      <c r="OI72" s="1411">
        <f t="shared" si="266"/>
        <v>6.9444444444444441E-3</v>
      </c>
      <c r="OJ72" s="1411">
        <f t="shared" si="267"/>
        <v>6.9444444444444441E-3</v>
      </c>
      <c r="OK72" s="1411">
        <f t="shared" si="268"/>
        <v>6.9444444444444441E-3</v>
      </c>
      <c r="OL72" s="1411">
        <f t="shared" si="269"/>
        <v>6.9444444444444441E-3</v>
      </c>
      <c r="OM72" s="1411">
        <f t="shared" si="270"/>
        <v>6.9444444444444441E-3</v>
      </c>
      <c r="ON72" s="1411">
        <f t="shared" si="271"/>
        <v>6.9444444444444441E-3</v>
      </c>
      <c r="OO72" s="1411">
        <f t="shared" si="272"/>
        <v>6.9444444444444441E-3</v>
      </c>
      <c r="OP72" s="1411">
        <f t="shared" si="273"/>
        <v>6.9444444444444441E-3</v>
      </c>
      <c r="OQ72" s="1411">
        <f t="shared" si="274"/>
        <v>6.9444444444444441E-3</v>
      </c>
      <c r="OR72" s="1411">
        <f t="shared" si="275"/>
        <v>6.9444444444444441E-3</v>
      </c>
      <c r="OS72" s="1411">
        <f t="shared" si="276"/>
        <v>6.9444444444444441E-3</v>
      </c>
      <c r="OT72" s="1411">
        <f t="shared" si="277"/>
        <v>6.9444444444444441E-3</v>
      </c>
      <c r="OU72" s="1411">
        <f t="shared" si="278"/>
        <v>6.9444444444444441E-3</v>
      </c>
      <c r="OV72" s="1411">
        <f t="shared" si="279"/>
        <v>6.9444444444444441E-3</v>
      </c>
      <c r="OW72" s="1411">
        <f t="shared" si="280"/>
        <v>6.9444444444444441E-3</v>
      </c>
      <c r="OX72" s="1411">
        <f t="shared" si="281"/>
        <v>6.9444444444444441E-3</v>
      </c>
      <c r="OY72" s="1411">
        <f t="shared" si="282"/>
        <v>6.9444444444444441E-3</v>
      </c>
      <c r="OZ72" s="1411">
        <f t="shared" si="283"/>
        <v>6.9444444444444441E-3</v>
      </c>
      <c r="PA72" s="1411">
        <f t="shared" si="284"/>
        <v>6.9444444444444441E-3</v>
      </c>
      <c r="PB72" s="1411">
        <f t="shared" si="285"/>
        <v>6.9444444444444441E-3</v>
      </c>
      <c r="PC72" s="1411">
        <f t="shared" si="286"/>
        <v>6.9444444444444441E-3</v>
      </c>
      <c r="PD72" s="1411">
        <f t="shared" si="287"/>
        <v>6.9444444444444441E-3</v>
      </c>
      <c r="PE72" s="1411">
        <f t="shared" si="288"/>
        <v>6.9444444444444441E-3</v>
      </c>
      <c r="PF72" s="1411">
        <f t="shared" si="289"/>
        <v>6.9444444444444441E-3</v>
      </c>
      <c r="PG72" s="1411">
        <f t="shared" si="290"/>
        <v>6.9444444444444441E-3</v>
      </c>
      <c r="PH72" s="1411">
        <f t="shared" si="291"/>
        <v>6.9444444444444441E-3</v>
      </c>
      <c r="PI72" s="1411">
        <f t="shared" si="292"/>
        <v>6.9444444444444441E-3</v>
      </c>
      <c r="PJ72" s="1411">
        <f t="shared" si="293"/>
        <v>6.9444444444444441E-3</v>
      </c>
      <c r="PK72" s="1411">
        <f t="shared" si="294"/>
        <v>6.9444444444444441E-3</v>
      </c>
      <c r="PL72" s="1411">
        <f t="shared" si="295"/>
        <v>6.9444444444444441E-3</v>
      </c>
      <c r="PM72" s="1411">
        <f t="shared" si="296"/>
        <v>6.9444444444444441E-3</v>
      </c>
      <c r="PN72" s="1411">
        <f t="shared" si="297"/>
        <v>6.9444444444444441E-3</v>
      </c>
      <c r="PO72" s="1411">
        <f t="shared" si="298"/>
        <v>6.9444444444444441E-3</v>
      </c>
      <c r="PP72" s="1411">
        <f t="shared" si="299"/>
        <v>6.9444444444444441E-3</v>
      </c>
      <c r="PQ72" s="1411">
        <f t="shared" si="300"/>
        <v>6.9444444444444441E-3</v>
      </c>
      <c r="PR72" s="1411">
        <f t="shared" si="301"/>
        <v>6.9444444444444441E-3</v>
      </c>
      <c r="PS72" s="1411">
        <f t="shared" si="302"/>
        <v>6.9444444444444441E-3</v>
      </c>
      <c r="PT72" s="1411">
        <f t="shared" si="303"/>
        <v>6.9444444444444441E-3</v>
      </c>
      <c r="PU72" s="1411">
        <f t="shared" si="304"/>
        <v>6.9444444444444441E-3</v>
      </c>
      <c r="PV72" s="1411">
        <f t="shared" si="305"/>
        <v>6.9444444444444441E-3</v>
      </c>
      <c r="PW72" s="1411">
        <f t="shared" si="306"/>
        <v>6.9444444444444441E-3</v>
      </c>
      <c r="PX72" s="1411">
        <f t="shared" si="307"/>
        <v>6.9444444444444441E-3</v>
      </c>
      <c r="PY72" s="1411">
        <f t="shared" si="308"/>
        <v>6.9444444444444441E-3</v>
      </c>
      <c r="PZ72" s="1412">
        <f t="shared" si="309"/>
        <v>6.9444444444444441E-3</v>
      </c>
      <c r="QB72" s="33" t="s">
        <v>1072</v>
      </c>
      <c r="QC72" s="1432">
        <f t="shared" si="336"/>
        <v>0.33333333333333309</v>
      </c>
      <c r="QD72" s="744">
        <f t="shared" si="337"/>
        <v>0.33333333333333309</v>
      </c>
      <c r="QE72" s="1068">
        <f t="shared" si="338"/>
        <v>0.33333333333333309</v>
      </c>
      <c r="QF72" s="744">
        <f t="shared" si="339"/>
        <v>0.33333333333333309</v>
      </c>
      <c r="QG72" s="744">
        <f t="shared" si="340"/>
        <v>0.33333333333333309</v>
      </c>
      <c r="QH72" s="1068">
        <f t="shared" si="341"/>
        <v>0.33333333333333309</v>
      </c>
      <c r="QI72" s="744">
        <f t="shared" si="342"/>
        <v>0.49999999999999917</v>
      </c>
      <c r="QJ72" s="1068">
        <f t="shared" si="343"/>
        <v>0.49999999999999917</v>
      </c>
      <c r="QK72" s="744">
        <f t="shared" si="344"/>
        <v>0.49999999999999917</v>
      </c>
      <c r="QL72" s="1068">
        <f t="shared" si="345"/>
        <v>0.49999999999999917</v>
      </c>
      <c r="QM72" s="744">
        <f t="shared" si="346"/>
        <v>0.49999999999999917</v>
      </c>
      <c r="QN72" s="1068">
        <f t="shared" si="347"/>
        <v>0.49999999999999917</v>
      </c>
      <c r="QO72" s="744">
        <f t="shared" si="348"/>
        <v>0.49999999999999917</v>
      </c>
      <c r="QP72" s="1068">
        <f t="shared" si="349"/>
        <v>0.49999999999999917</v>
      </c>
      <c r="QR72" s="1432">
        <f t="shared" si="467"/>
        <v>0.11111111111111115</v>
      </c>
      <c r="QS72" s="744">
        <f t="shared" si="468"/>
        <v>0.11111111111111115</v>
      </c>
      <c r="QT72" s="744">
        <f t="shared" si="469"/>
        <v>0.11111111111111115</v>
      </c>
      <c r="QU72" s="743">
        <f t="shared" si="470"/>
        <v>0.11111111111111115</v>
      </c>
      <c r="QV72" s="744">
        <f t="shared" si="471"/>
        <v>0.11111111111111115</v>
      </c>
      <c r="QW72" s="744">
        <f t="shared" si="472"/>
        <v>0.11111111111111115</v>
      </c>
      <c r="QX72" s="743">
        <f t="shared" si="473"/>
        <v>0.11111111111111115</v>
      </c>
      <c r="QY72" s="744">
        <f t="shared" si="474"/>
        <v>0.11111111111111115</v>
      </c>
      <c r="QZ72" s="745">
        <f t="shared" si="475"/>
        <v>0.11111111111111115</v>
      </c>
      <c r="RC72" s="744">
        <f t="shared" si="359"/>
        <v>5.5555555555555566E-2</v>
      </c>
      <c r="RD72" s="744">
        <f t="shared" si="360"/>
        <v>5.5555555555555566E-2</v>
      </c>
      <c r="RE72" s="744">
        <f t="shared" si="361"/>
        <v>5.5555555555555566E-2</v>
      </c>
      <c r="RF72" s="744">
        <f t="shared" si="362"/>
        <v>5.5555555555555566E-2</v>
      </c>
      <c r="RG72" s="744">
        <f t="shared" si="363"/>
        <v>5.5555555555555566E-2</v>
      </c>
      <c r="RH72" s="744">
        <f t="shared" si="364"/>
        <v>5.5555555555555566E-2</v>
      </c>
      <c r="RI72" s="744">
        <f t="shared" si="365"/>
        <v>5.5555555555555566E-2</v>
      </c>
      <c r="RJ72" s="744">
        <f t="shared" si="366"/>
        <v>5.5555555555555566E-2</v>
      </c>
      <c r="RK72" s="744">
        <f t="shared" si="367"/>
        <v>5.5555555555555566E-2</v>
      </c>
      <c r="RL72" s="1251"/>
      <c r="RM72" s="744">
        <f t="shared" si="368"/>
        <v>5.5555555555555566E-2</v>
      </c>
      <c r="RN72" s="744">
        <f t="shared" si="369"/>
        <v>5.5555555555555566E-2</v>
      </c>
      <c r="RO72" s="744">
        <f t="shared" si="370"/>
        <v>5.5555555555555566E-2</v>
      </c>
      <c r="RP72" s="744">
        <f t="shared" si="371"/>
        <v>5.5555555555555566E-2</v>
      </c>
      <c r="RQ72" s="744">
        <f t="shared" si="372"/>
        <v>5.5555555555555566E-2</v>
      </c>
      <c r="RR72" s="744">
        <f t="shared" si="373"/>
        <v>5.5555555555555566E-2</v>
      </c>
      <c r="RS72" s="744">
        <f t="shared" si="374"/>
        <v>5.5555555555555566E-2</v>
      </c>
      <c r="RT72" s="744">
        <f t="shared" si="375"/>
        <v>5.5555555555555566E-2</v>
      </c>
      <c r="RU72" s="744">
        <f t="shared" si="376"/>
        <v>5.5555555555555566E-2</v>
      </c>
      <c r="RV72" s="744"/>
      <c r="RW72" s="744">
        <f t="shared" si="377"/>
        <v>5.5555555555555566E-2</v>
      </c>
      <c r="RX72" s="744">
        <f t="shared" si="378"/>
        <v>5.5555555555555566E-2</v>
      </c>
      <c r="RY72" s="744">
        <f t="shared" si="379"/>
        <v>5.5555555555555566E-2</v>
      </c>
      <c r="RZ72" s="744">
        <f t="shared" si="380"/>
        <v>5.5555555555555566E-2</v>
      </c>
      <c r="SA72" s="744">
        <f t="shared" si="381"/>
        <v>5.5555555555555566E-2</v>
      </c>
      <c r="SB72" s="744">
        <f t="shared" si="382"/>
        <v>5.5555555555555566E-2</v>
      </c>
      <c r="SC72" s="744">
        <f t="shared" si="383"/>
        <v>5.5555555555555566E-2</v>
      </c>
      <c r="SD72" s="744">
        <f t="shared" si="384"/>
        <v>5.5555555555555566E-2</v>
      </c>
      <c r="SE72" s="744">
        <f t="shared" si="385"/>
        <v>5.5555555555555566E-2</v>
      </c>
      <c r="SF72" s="744"/>
      <c r="SG72" s="744">
        <f t="shared" si="386"/>
        <v>5.5555555555555566E-2</v>
      </c>
      <c r="SH72" s="744">
        <f t="shared" si="387"/>
        <v>5.5555555555555566E-2</v>
      </c>
      <c r="SI72" s="744">
        <f t="shared" si="388"/>
        <v>5.5555555555555566E-2</v>
      </c>
      <c r="SJ72" s="744">
        <f t="shared" si="389"/>
        <v>5.5555555555555566E-2</v>
      </c>
      <c r="SK72" s="744">
        <f t="shared" si="390"/>
        <v>5.5555555555555566E-2</v>
      </c>
      <c r="SL72" s="744">
        <f t="shared" si="391"/>
        <v>5.5555555555555566E-2</v>
      </c>
      <c r="SM72" s="744">
        <f t="shared" si="392"/>
        <v>5.5555555555555566E-2</v>
      </c>
      <c r="SN72" s="744">
        <f t="shared" si="393"/>
        <v>5.5555555555555566E-2</v>
      </c>
      <c r="SO72" s="744">
        <f t="shared" si="394"/>
        <v>5.5555555555555566E-2</v>
      </c>
      <c r="SP72" s="100"/>
      <c r="SQ72" s="114"/>
      <c r="SR72" s="806">
        <f t="shared" si="431"/>
        <v>0.49999999999999994</v>
      </c>
      <c r="SS72" s="806">
        <f t="shared" si="432"/>
        <v>0.49999999999999994</v>
      </c>
      <c r="ST72" s="806">
        <f t="shared" si="433"/>
        <v>0.49999999999999994</v>
      </c>
      <c r="SU72" s="806">
        <f t="shared" si="434"/>
        <v>0.49999999999999994</v>
      </c>
      <c r="SV72" s="806">
        <f t="shared" si="435"/>
        <v>0.49999999999999994</v>
      </c>
      <c r="SW72" s="806">
        <f t="shared" si="436"/>
        <v>0.49999999999999994</v>
      </c>
      <c r="SX72" s="806">
        <f t="shared" si="437"/>
        <v>0.49999999999999994</v>
      </c>
      <c r="SY72" s="806">
        <f t="shared" si="438"/>
        <v>0.49999999999999994</v>
      </c>
      <c r="SZ72" s="806">
        <f t="shared" si="439"/>
        <v>0.49999999999999994</v>
      </c>
      <c r="TA72" s="806"/>
      <c r="TB72" s="806">
        <f t="shared" si="440"/>
        <v>0.49999999999999994</v>
      </c>
      <c r="TC72" s="806">
        <f t="shared" si="441"/>
        <v>0.49999999999999994</v>
      </c>
      <c r="TD72" s="806">
        <f t="shared" si="442"/>
        <v>0.49999999999999994</v>
      </c>
      <c r="TE72" s="806">
        <f t="shared" si="443"/>
        <v>0.49999999999999994</v>
      </c>
      <c r="TF72" s="806">
        <f t="shared" si="444"/>
        <v>0.49999999999999994</v>
      </c>
      <c r="TG72" s="806">
        <f t="shared" si="445"/>
        <v>0.49999999999999994</v>
      </c>
      <c r="TH72" s="806">
        <f t="shared" si="446"/>
        <v>0.49999999999999994</v>
      </c>
      <c r="TI72" s="806">
        <f t="shared" si="447"/>
        <v>0.49999999999999994</v>
      </c>
      <c r="TJ72" s="806">
        <f t="shared" si="448"/>
        <v>0.49999999999999994</v>
      </c>
      <c r="TK72" s="806"/>
      <c r="TL72" s="806">
        <f t="shared" si="449"/>
        <v>0.49999999999999994</v>
      </c>
      <c r="TM72" s="806">
        <f t="shared" si="450"/>
        <v>0.49999999999999994</v>
      </c>
      <c r="TN72" s="806">
        <f t="shared" si="451"/>
        <v>0.49999999999999994</v>
      </c>
      <c r="TO72" s="806">
        <f t="shared" si="452"/>
        <v>0.49999999999999994</v>
      </c>
      <c r="TP72" s="806">
        <f t="shared" si="453"/>
        <v>0.49999999999999994</v>
      </c>
      <c r="TQ72" s="806">
        <f t="shared" si="454"/>
        <v>0.49999999999999994</v>
      </c>
      <c r="TR72" s="806">
        <f t="shared" si="455"/>
        <v>0.49999999999999994</v>
      </c>
      <c r="TS72" s="806">
        <f t="shared" si="456"/>
        <v>0.49999999999999994</v>
      </c>
      <c r="TT72" s="806">
        <f t="shared" si="457"/>
        <v>0.49999999999999994</v>
      </c>
      <c r="TU72" s="806"/>
      <c r="TV72" s="806">
        <f t="shared" si="458"/>
        <v>0.49999999999999994</v>
      </c>
      <c r="TW72" s="806">
        <f t="shared" si="459"/>
        <v>0.49999999999999994</v>
      </c>
      <c r="TX72" s="806">
        <f t="shared" si="460"/>
        <v>0.49999999999999994</v>
      </c>
      <c r="TY72" s="806">
        <f t="shared" si="461"/>
        <v>0.49999999999999994</v>
      </c>
      <c r="TZ72" s="806">
        <f t="shared" si="462"/>
        <v>0.49999999999999994</v>
      </c>
      <c r="UA72" s="806">
        <f t="shared" si="463"/>
        <v>0.49999999999999994</v>
      </c>
      <c r="UB72" s="806">
        <f t="shared" si="464"/>
        <v>0.49999999999999994</v>
      </c>
      <c r="UC72" s="806">
        <f t="shared" si="465"/>
        <v>0.49999999999999994</v>
      </c>
      <c r="UD72" s="1439">
        <f t="shared" si="466"/>
        <v>0.49999999999999994</v>
      </c>
    </row>
    <row r="73" spans="3:550" s="7" customFormat="1" x14ac:dyDescent="0.25">
      <c r="C73" s="21"/>
      <c r="D73" s="1308">
        <v>44048</v>
      </c>
      <c r="E73" s="233">
        <v>0</v>
      </c>
      <c r="F73" s="1392">
        <v>0</v>
      </c>
      <c r="G73" s="1392">
        <v>0</v>
      </c>
      <c r="H73" s="1392">
        <v>0</v>
      </c>
      <c r="I73" s="1392">
        <v>0</v>
      </c>
      <c r="J73" s="1392">
        <v>0</v>
      </c>
      <c r="K73" s="1392">
        <v>0</v>
      </c>
      <c r="L73" s="1392">
        <v>0</v>
      </c>
      <c r="M73" s="1392">
        <v>0</v>
      </c>
      <c r="N73" s="1392">
        <v>0</v>
      </c>
      <c r="O73" s="1392">
        <v>0</v>
      </c>
      <c r="P73" s="1392">
        <v>0</v>
      </c>
      <c r="Q73" s="1392">
        <v>0</v>
      </c>
      <c r="R73" s="1392">
        <v>0</v>
      </c>
      <c r="S73" s="1392">
        <v>0</v>
      </c>
      <c r="T73" s="1392">
        <v>0</v>
      </c>
      <c r="U73" s="1392">
        <v>0</v>
      </c>
      <c r="V73" s="1392">
        <v>0</v>
      </c>
      <c r="W73" s="1392">
        <v>0</v>
      </c>
      <c r="X73" s="1392">
        <v>0</v>
      </c>
      <c r="Y73" s="1392">
        <v>0</v>
      </c>
      <c r="Z73" s="1392">
        <v>0</v>
      </c>
      <c r="AA73" s="1392">
        <v>0</v>
      </c>
      <c r="AB73" s="1392">
        <v>0</v>
      </c>
      <c r="AC73" s="1392">
        <v>0</v>
      </c>
      <c r="AD73" s="1392">
        <v>0</v>
      </c>
      <c r="AE73" s="1392">
        <v>0</v>
      </c>
      <c r="AF73" s="1392">
        <v>0</v>
      </c>
      <c r="AG73" s="1392">
        <v>0</v>
      </c>
      <c r="AH73" s="1392">
        <v>0</v>
      </c>
      <c r="AI73" s="1392">
        <v>0</v>
      </c>
      <c r="AJ73" s="1392">
        <v>0</v>
      </c>
      <c r="AK73" s="1392">
        <v>0</v>
      </c>
      <c r="AL73" s="1392">
        <v>0</v>
      </c>
      <c r="AM73" s="1392">
        <v>0</v>
      </c>
      <c r="AN73" s="1392">
        <v>0</v>
      </c>
      <c r="AO73" s="1392">
        <v>0</v>
      </c>
      <c r="AP73" s="1392">
        <v>0</v>
      </c>
      <c r="AQ73" s="1392">
        <v>0</v>
      </c>
      <c r="AR73" s="1392">
        <v>0</v>
      </c>
      <c r="AS73" s="1392">
        <v>0</v>
      </c>
      <c r="AT73" s="1392">
        <v>0</v>
      </c>
      <c r="AU73" s="1392">
        <v>0</v>
      </c>
      <c r="AV73" s="1392">
        <v>0</v>
      </c>
      <c r="AW73" s="1392">
        <v>0</v>
      </c>
      <c r="AX73" s="1392">
        <v>0</v>
      </c>
      <c r="AY73" s="1392">
        <v>0</v>
      </c>
      <c r="AZ73" s="1392">
        <v>0</v>
      </c>
      <c r="BA73" s="1392">
        <v>0</v>
      </c>
      <c r="BB73" s="1392">
        <v>0</v>
      </c>
      <c r="BC73" s="1392">
        <v>0</v>
      </c>
      <c r="BD73" s="1392">
        <v>0</v>
      </c>
      <c r="BE73" s="1392">
        <v>0</v>
      </c>
      <c r="BF73" s="1392">
        <v>0</v>
      </c>
      <c r="BG73" s="1392">
        <v>0</v>
      </c>
      <c r="BH73" s="1392">
        <v>0</v>
      </c>
      <c r="BI73" s="1392">
        <v>0</v>
      </c>
      <c r="BJ73" s="1392">
        <v>0</v>
      </c>
      <c r="BK73" s="1392">
        <v>0</v>
      </c>
      <c r="BL73" s="1392">
        <v>0</v>
      </c>
      <c r="BM73" s="1392">
        <v>0</v>
      </c>
      <c r="BN73" s="1392">
        <v>0</v>
      </c>
      <c r="BO73" s="1392">
        <v>0</v>
      </c>
      <c r="BP73" s="1392">
        <v>0</v>
      </c>
      <c r="BQ73" s="1392">
        <v>0</v>
      </c>
      <c r="BR73" s="1392">
        <v>0</v>
      </c>
      <c r="BS73" s="1392">
        <v>0</v>
      </c>
      <c r="BT73" s="1392">
        <v>0</v>
      </c>
      <c r="BU73" s="1392">
        <v>0</v>
      </c>
      <c r="BV73" s="1392">
        <v>0</v>
      </c>
      <c r="BW73" s="1392">
        <v>0</v>
      </c>
      <c r="BX73" s="1392">
        <v>0</v>
      </c>
      <c r="BY73" s="1392">
        <v>0</v>
      </c>
      <c r="BZ73" s="1392">
        <v>0</v>
      </c>
      <c r="CA73" s="1392">
        <v>0</v>
      </c>
      <c r="CB73" s="1392">
        <v>0</v>
      </c>
      <c r="CC73" s="1392">
        <v>0</v>
      </c>
      <c r="CD73" s="1392">
        <v>0</v>
      </c>
      <c r="CE73" s="1392">
        <v>0</v>
      </c>
      <c r="CF73" s="1392">
        <v>0</v>
      </c>
      <c r="CG73" s="1392">
        <v>0</v>
      </c>
      <c r="CH73" s="1392">
        <v>0</v>
      </c>
      <c r="CI73" s="1392">
        <v>0</v>
      </c>
      <c r="CJ73" s="1392">
        <v>0</v>
      </c>
      <c r="CK73" s="1392">
        <v>0</v>
      </c>
      <c r="CL73" s="1392">
        <v>0</v>
      </c>
      <c r="CM73" s="1392">
        <v>0</v>
      </c>
      <c r="CN73" s="1392">
        <v>0</v>
      </c>
      <c r="CO73" s="1392">
        <v>0</v>
      </c>
      <c r="CP73" s="1392">
        <v>0</v>
      </c>
      <c r="CQ73" s="1392">
        <v>0</v>
      </c>
      <c r="CR73" s="1392">
        <v>0</v>
      </c>
      <c r="CS73" s="1392">
        <v>0</v>
      </c>
      <c r="CT73" s="1392">
        <v>0</v>
      </c>
      <c r="CU73" s="1392">
        <v>0</v>
      </c>
      <c r="CV73" s="1392">
        <v>0</v>
      </c>
      <c r="CW73" s="1392">
        <v>0</v>
      </c>
      <c r="CX73" s="1392">
        <v>0</v>
      </c>
      <c r="CY73" s="1392">
        <v>0</v>
      </c>
      <c r="CZ73" s="1392">
        <v>0</v>
      </c>
      <c r="DA73" s="1392">
        <v>0</v>
      </c>
      <c r="DB73" s="1392">
        <v>0</v>
      </c>
      <c r="DC73" s="1392">
        <v>0</v>
      </c>
      <c r="DD73" s="1392">
        <v>0</v>
      </c>
      <c r="DE73" s="1392">
        <v>0</v>
      </c>
      <c r="DF73" s="1392">
        <v>0</v>
      </c>
      <c r="DG73" s="1392">
        <v>0</v>
      </c>
      <c r="DH73" s="1392">
        <v>0</v>
      </c>
      <c r="DI73" s="1392">
        <v>0</v>
      </c>
      <c r="DJ73" s="1392">
        <v>0</v>
      </c>
      <c r="DK73" s="1392">
        <v>0</v>
      </c>
      <c r="DL73" s="1392">
        <v>0</v>
      </c>
      <c r="DM73" s="1392">
        <v>0</v>
      </c>
      <c r="DN73" s="1392">
        <v>0</v>
      </c>
      <c r="DO73" s="1392">
        <v>0</v>
      </c>
      <c r="DP73" s="1392">
        <v>0</v>
      </c>
      <c r="DQ73" s="1392">
        <v>0</v>
      </c>
      <c r="DR73" s="1392">
        <v>0</v>
      </c>
      <c r="DS73" s="1392">
        <v>0</v>
      </c>
      <c r="DT73" s="1392">
        <v>0</v>
      </c>
      <c r="DU73" s="1392">
        <v>0</v>
      </c>
      <c r="DV73" s="1392">
        <v>0</v>
      </c>
      <c r="DW73" s="1392">
        <v>0</v>
      </c>
      <c r="DX73" s="1392">
        <v>0</v>
      </c>
      <c r="DY73" s="1392">
        <v>0</v>
      </c>
      <c r="DZ73" s="1392">
        <v>0</v>
      </c>
      <c r="EA73" s="1392">
        <v>0</v>
      </c>
      <c r="EB73" s="1392">
        <v>0</v>
      </c>
      <c r="EC73" s="1392">
        <v>0</v>
      </c>
      <c r="ED73" s="1392">
        <v>0</v>
      </c>
      <c r="EE73" s="1392">
        <v>0</v>
      </c>
      <c r="EF73" s="1392">
        <v>0</v>
      </c>
      <c r="EG73" s="1392">
        <v>0</v>
      </c>
      <c r="EH73" s="1392">
        <v>0</v>
      </c>
      <c r="EI73" s="1392">
        <v>0</v>
      </c>
      <c r="EJ73" s="1392">
        <v>0</v>
      </c>
      <c r="EK73" s="1392">
        <v>0</v>
      </c>
      <c r="EL73" s="1392">
        <v>0</v>
      </c>
      <c r="EM73" s="1392">
        <v>0</v>
      </c>
      <c r="EN73" s="1392">
        <v>0</v>
      </c>
      <c r="EO73" s="1392">
        <v>0</v>
      </c>
      <c r="EP73" s="1392">
        <v>0</v>
      </c>
      <c r="EQ73" s="1392">
        <v>0</v>
      </c>
      <c r="ER73" s="1393">
        <v>0</v>
      </c>
      <c r="ES73" s="377"/>
      <c r="ET73" s="316">
        <f t="shared" si="335"/>
        <v>1</v>
      </c>
      <c r="EU73" s="1392">
        <f t="shared" si="20"/>
        <v>1</v>
      </c>
      <c r="EV73" s="1392">
        <f t="shared" si="21"/>
        <v>1</v>
      </c>
      <c r="EW73" s="1392">
        <f t="shared" si="22"/>
        <v>1</v>
      </c>
      <c r="EX73" s="1392">
        <f t="shared" si="23"/>
        <v>1</v>
      </c>
      <c r="EY73" s="1392">
        <f t="shared" si="24"/>
        <v>1</v>
      </c>
      <c r="EZ73" s="1392">
        <f t="shared" si="25"/>
        <v>1</v>
      </c>
      <c r="FA73" s="1392">
        <f t="shared" si="26"/>
        <v>1</v>
      </c>
      <c r="FB73" s="1392">
        <f t="shared" si="27"/>
        <v>1</v>
      </c>
      <c r="FC73" s="1392">
        <f t="shared" si="28"/>
        <v>1</v>
      </c>
      <c r="FD73" s="1392">
        <f t="shared" si="29"/>
        <v>1</v>
      </c>
      <c r="FE73" s="1392">
        <f t="shared" si="30"/>
        <v>1</v>
      </c>
      <c r="FF73" s="1392">
        <f t="shared" si="31"/>
        <v>1</v>
      </c>
      <c r="FG73" s="1392">
        <f t="shared" si="32"/>
        <v>1</v>
      </c>
      <c r="FH73" s="1392">
        <f t="shared" si="33"/>
        <v>1</v>
      </c>
      <c r="FI73" s="1392">
        <f t="shared" si="34"/>
        <v>1</v>
      </c>
      <c r="FJ73" s="1392">
        <f t="shared" si="35"/>
        <v>1</v>
      </c>
      <c r="FK73" s="1392">
        <f t="shared" si="36"/>
        <v>1</v>
      </c>
      <c r="FL73" s="1392">
        <f t="shared" si="37"/>
        <v>1</v>
      </c>
      <c r="FM73" s="1392">
        <f t="shared" si="38"/>
        <v>1</v>
      </c>
      <c r="FN73" s="1392">
        <f t="shared" si="39"/>
        <v>1</v>
      </c>
      <c r="FO73" s="1392">
        <f t="shared" si="40"/>
        <v>1</v>
      </c>
      <c r="FP73" s="1392">
        <f t="shared" si="41"/>
        <v>1</v>
      </c>
      <c r="FQ73" s="1392">
        <f t="shared" si="42"/>
        <v>1</v>
      </c>
      <c r="FR73" s="1392">
        <f t="shared" si="43"/>
        <v>1</v>
      </c>
      <c r="FS73" s="1392">
        <f t="shared" si="44"/>
        <v>1</v>
      </c>
      <c r="FT73" s="1392">
        <f t="shared" si="45"/>
        <v>1</v>
      </c>
      <c r="FU73" s="1392">
        <f t="shared" si="46"/>
        <v>1</v>
      </c>
      <c r="FV73" s="1392">
        <f t="shared" si="47"/>
        <v>1</v>
      </c>
      <c r="FW73" s="1392">
        <f t="shared" si="48"/>
        <v>1</v>
      </c>
      <c r="FX73" s="1392">
        <f t="shared" si="49"/>
        <v>1</v>
      </c>
      <c r="FY73" s="1392">
        <f t="shared" si="50"/>
        <v>1</v>
      </c>
      <c r="FZ73" s="1392">
        <f t="shared" si="51"/>
        <v>1</v>
      </c>
      <c r="GA73" s="1392">
        <f t="shared" si="52"/>
        <v>1</v>
      </c>
      <c r="GB73" s="1392">
        <f t="shared" si="53"/>
        <v>1</v>
      </c>
      <c r="GC73" s="1392">
        <f t="shared" si="54"/>
        <v>1</v>
      </c>
      <c r="GD73" s="1392">
        <f t="shared" si="55"/>
        <v>1</v>
      </c>
      <c r="GE73" s="1392">
        <f t="shared" si="56"/>
        <v>1</v>
      </c>
      <c r="GF73" s="1392">
        <f t="shared" si="57"/>
        <v>1</v>
      </c>
      <c r="GG73" s="1392">
        <f t="shared" si="58"/>
        <v>1</v>
      </c>
      <c r="GH73" s="1392">
        <f t="shared" si="59"/>
        <v>1</v>
      </c>
      <c r="GI73" s="1392">
        <f t="shared" si="60"/>
        <v>1</v>
      </c>
      <c r="GJ73" s="1392">
        <f t="shared" si="61"/>
        <v>1</v>
      </c>
      <c r="GK73" s="1392">
        <f t="shared" si="62"/>
        <v>1</v>
      </c>
      <c r="GL73" s="1392">
        <f t="shared" si="63"/>
        <v>1</v>
      </c>
      <c r="GM73" s="1392">
        <f t="shared" si="64"/>
        <v>1</v>
      </c>
      <c r="GN73" s="1392">
        <f t="shared" si="65"/>
        <v>1</v>
      </c>
      <c r="GO73" s="1392">
        <f t="shared" si="66"/>
        <v>1</v>
      </c>
      <c r="GP73" s="1392">
        <f t="shared" si="67"/>
        <v>1</v>
      </c>
      <c r="GQ73" s="1392">
        <f t="shared" si="68"/>
        <v>1</v>
      </c>
      <c r="GR73" s="1392">
        <f t="shared" si="69"/>
        <v>1</v>
      </c>
      <c r="GS73" s="1392">
        <f t="shared" si="70"/>
        <v>1</v>
      </c>
      <c r="GT73" s="1392">
        <f t="shared" si="71"/>
        <v>1</v>
      </c>
      <c r="GU73" s="1392">
        <f t="shared" si="72"/>
        <v>1</v>
      </c>
      <c r="GV73" s="1392">
        <f t="shared" si="73"/>
        <v>1</v>
      </c>
      <c r="GW73" s="1392">
        <f t="shared" si="74"/>
        <v>1</v>
      </c>
      <c r="GX73" s="1392">
        <f t="shared" si="75"/>
        <v>1</v>
      </c>
      <c r="GY73" s="1392">
        <f t="shared" si="76"/>
        <v>1</v>
      </c>
      <c r="GZ73" s="1392">
        <f t="shared" si="77"/>
        <v>1</v>
      </c>
      <c r="HA73" s="1392">
        <f t="shared" si="78"/>
        <v>1</v>
      </c>
      <c r="HB73" s="1392">
        <f t="shared" si="79"/>
        <v>1</v>
      </c>
      <c r="HC73" s="1392">
        <f t="shared" si="80"/>
        <v>1</v>
      </c>
      <c r="HD73" s="1392">
        <f t="shared" si="81"/>
        <v>1</v>
      </c>
      <c r="HE73" s="1392">
        <f t="shared" si="82"/>
        <v>1</v>
      </c>
      <c r="HF73" s="1392">
        <f t="shared" si="83"/>
        <v>1</v>
      </c>
      <c r="HG73" s="1392">
        <f t="shared" si="84"/>
        <v>1</v>
      </c>
      <c r="HH73" s="1392">
        <f t="shared" si="85"/>
        <v>1</v>
      </c>
      <c r="HI73" s="1392">
        <f t="shared" si="86"/>
        <v>1</v>
      </c>
      <c r="HJ73" s="1392">
        <f t="shared" si="87"/>
        <v>1</v>
      </c>
      <c r="HK73" s="1392">
        <f t="shared" si="88"/>
        <v>1</v>
      </c>
      <c r="HL73" s="1392">
        <f t="shared" si="89"/>
        <v>1</v>
      </c>
      <c r="HM73" s="1392">
        <f t="shared" si="90"/>
        <v>1</v>
      </c>
      <c r="HN73" s="1392">
        <f t="shared" si="91"/>
        <v>1</v>
      </c>
      <c r="HO73" s="1392">
        <f t="shared" si="92"/>
        <v>1</v>
      </c>
      <c r="HP73" s="1392">
        <f t="shared" si="93"/>
        <v>1</v>
      </c>
      <c r="HQ73" s="1392">
        <f t="shared" si="94"/>
        <v>1</v>
      </c>
      <c r="HR73" s="1392">
        <f t="shared" si="95"/>
        <v>1</v>
      </c>
      <c r="HS73" s="1392">
        <f t="shared" si="96"/>
        <v>1</v>
      </c>
      <c r="HT73" s="1392">
        <f t="shared" si="97"/>
        <v>1</v>
      </c>
      <c r="HU73" s="1392">
        <f t="shared" si="98"/>
        <v>1</v>
      </c>
      <c r="HV73" s="1392">
        <f t="shared" si="99"/>
        <v>1</v>
      </c>
      <c r="HW73" s="1392">
        <f t="shared" si="100"/>
        <v>1</v>
      </c>
      <c r="HX73" s="1392">
        <f t="shared" si="101"/>
        <v>1</v>
      </c>
      <c r="HY73" s="1392">
        <f t="shared" si="102"/>
        <v>1</v>
      </c>
      <c r="HZ73" s="1392">
        <f t="shared" si="103"/>
        <v>1</v>
      </c>
      <c r="IA73" s="1392">
        <f t="shared" si="104"/>
        <v>1</v>
      </c>
      <c r="IB73" s="1392">
        <f t="shared" si="105"/>
        <v>1</v>
      </c>
      <c r="IC73" s="1392">
        <f t="shared" si="106"/>
        <v>1</v>
      </c>
      <c r="ID73" s="1392">
        <f t="shared" si="107"/>
        <v>1</v>
      </c>
      <c r="IE73" s="1392">
        <f t="shared" si="108"/>
        <v>1</v>
      </c>
      <c r="IF73" s="1392">
        <f t="shared" si="109"/>
        <v>1</v>
      </c>
      <c r="IG73" s="1392">
        <f t="shared" si="110"/>
        <v>1</v>
      </c>
      <c r="IH73" s="1392">
        <f t="shared" si="111"/>
        <v>1</v>
      </c>
      <c r="II73" s="1392">
        <f t="shared" si="112"/>
        <v>1</v>
      </c>
      <c r="IJ73" s="1392">
        <f t="shared" si="113"/>
        <v>1</v>
      </c>
      <c r="IK73" s="1392">
        <f t="shared" si="114"/>
        <v>1</v>
      </c>
      <c r="IL73" s="1392">
        <f t="shared" si="115"/>
        <v>1</v>
      </c>
      <c r="IM73" s="1392">
        <f t="shared" si="116"/>
        <v>1</v>
      </c>
      <c r="IN73" s="1392">
        <f t="shared" si="117"/>
        <v>1</v>
      </c>
      <c r="IO73" s="1392">
        <f t="shared" si="118"/>
        <v>1</v>
      </c>
      <c r="IP73" s="1392">
        <f t="shared" si="119"/>
        <v>1</v>
      </c>
      <c r="IQ73" s="1392">
        <f t="shared" si="120"/>
        <v>1</v>
      </c>
      <c r="IR73" s="1392">
        <f t="shared" si="121"/>
        <v>1</v>
      </c>
      <c r="IS73" s="1392">
        <f t="shared" si="122"/>
        <v>1</v>
      </c>
      <c r="IT73" s="1392">
        <f t="shared" si="123"/>
        <v>1</v>
      </c>
      <c r="IU73" s="1392">
        <f t="shared" si="124"/>
        <v>1</v>
      </c>
      <c r="IV73" s="1392">
        <f t="shared" si="125"/>
        <v>1</v>
      </c>
      <c r="IW73" s="1392">
        <f t="shared" si="126"/>
        <v>1</v>
      </c>
      <c r="IX73" s="1392">
        <f t="shared" si="127"/>
        <v>1</v>
      </c>
      <c r="IY73" s="1392">
        <f t="shared" si="128"/>
        <v>1</v>
      </c>
      <c r="IZ73" s="1392">
        <f t="shared" si="129"/>
        <v>1</v>
      </c>
      <c r="JA73" s="1392">
        <f t="shared" si="130"/>
        <v>1</v>
      </c>
      <c r="JB73" s="1392">
        <f t="shared" si="131"/>
        <v>1</v>
      </c>
      <c r="JC73" s="1392">
        <f t="shared" si="132"/>
        <v>1</v>
      </c>
      <c r="JD73" s="1392">
        <f t="shared" si="133"/>
        <v>1</v>
      </c>
      <c r="JE73" s="1392">
        <f t="shared" si="134"/>
        <v>1</v>
      </c>
      <c r="JF73" s="1392">
        <f t="shared" si="135"/>
        <v>1</v>
      </c>
      <c r="JG73" s="1392">
        <f t="shared" si="136"/>
        <v>1</v>
      </c>
      <c r="JH73" s="1392">
        <f t="shared" si="137"/>
        <v>1</v>
      </c>
      <c r="JI73" s="1392">
        <f t="shared" si="138"/>
        <v>1</v>
      </c>
      <c r="JJ73" s="1392">
        <f t="shared" si="139"/>
        <v>1</v>
      </c>
      <c r="JK73" s="1392">
        <f t="shared" si="140"/>
        <v>1</v>
      </c>
      <c r="JL73" s="1392">
        <f t="shared" si="141"/>
        <v>1</v>
      </c>
      <c r="JM73" s="1392">
        <f t="shared" si="142"/>
        <v>1</v>
      </c>
      <c r="JN73" s="1392">
        <f t="shared" si="143"/>
        <v>1</v>
      </c>
      <c r="JO73" s="1392">
        <f t="shared" si="144"/>
        <v>1</v>
      </c>
      <c r="JP73" s="1392">
        <f t="shared" si="145"/>
        <v>1</v>
      </c>
      <c r="JQ73" s="1392">
        <f t="shared" si="146"/>
        <v>1</v>
      </c>
      <c r="JR73" s="1392">
        <f t="shared" si="147"/>
        <v>1</v>
      </c>
      <c r="JS73" s="1392">
        <f t="shared" si="148"/>
        <v>1</v>
      </c>
      <c r="JT73" s="1392">
        <f t="shared" si="149"/>
        <v>1</v>
      </c>
      <c r="JU73" s="1392">
        <f t="shared" si="150"/>
        <v>1</v>
      </c>
      <c r="JV73" s="1392">
        <f t="shared" si="151"/>
        <v>1</v>
      </c>
      <c r="JW73" s="1392">
        <f t="shared" si="152"/>
        <v>1</v>
      </c>
      <c r="JX73" s="1392">
        <f t="shared" si="153"/>
        <v>1</v>
      </c>
      <c r="JY73" s="1392">
        <f t="shared" si="154"/>
        <v>1</v>
      </c>
      <c r="JZ73" s="1392">
        <f t="shared" si="155"/>
        <v>1</v>
      </c>
      <c r="KA73" s="1392">
        <f t="shared" si="156"/>
        <v>1</v>
      </c>
      <c r="KB73" s="1392">
        <f t="shared" si="157"/>
        <v>1</v>
      </c>
      <c r="KC73" s="1392">
        <f t="shared" si="158"/>
        <v>1</v>
      </c>
      <c r="KD73" s="1392">
        <f t="shared" si="159"/>
        <v>1</v>
      </c>
      <c r="KE73" s="1392">
        <f t="shared" si="160"/>
        <v>1</v>
      </c>
      <c r="KF73" s="1392">
        <f t="shared" si="161"/>
        <v>1</v>
      </c>
      <c r="KG73" s="1399">
        <f t="shared" si="162"/>
        <v>1</v>
      </c>
      <c r="KH73" s="1406">
        <f t="shared" si="163"/>
        <v>144</v>
      </c>
      <c r="KI73" s="377"/>
      <c r="KJ73" s="1444">
        <f t="shared" si="164"/>
        <v>19.879253198304003</v>
      </c>
      <c r="KK73" s="49">
        <f t="shared" si="165"/>
        <v>0</v>
      </c>
      <c r="KL73" s="377"/>
      <c r="KM73" s="908">
        <f t="shared" si="166"/>
        <v>6.9444444444444441E-3</v>
      </c>
      <c r="KN73" s="1411">
        <f t="shared" si="167"/>
        <v>6.9444444444444441E-3</v>
      </c>
      <c r="KO73" s="1411">
        <f t="shared" si="168"/>
        <v>6.9444444444444441E-3</v>
      </c>
      <c r="KP73" s="1411">
        <f t="shared" si="169"/>
        <v>6.9444444444444441E-3</v>
      </c>
      <c r="KQ73" s="1411">
        <f t="shared" si="170"/>
        <v>6.9444444444444441E-3</v>
      </c>
      <c r="KR73" s="1411">
        <f t="shared" si="171"/>
        <v>6.9444444444444441E-3</v>
      </c>
      <c r="KS73" s="1411">
        <f t="shared" si="172"/>
        <v>6.9444444444444441E-3</v>
      </c>
      <c r="KT73" s="1411">
        <f t="shared" si="173"/>
        <v>6.9444444444444441E-3</v>
      </c>
      <c r="KU73" s="1411">
        <f t="shared" si="174"/>
        <v>6.9444444444444441E-3</v>
      </c>
      <c r="KV73" s="1411">
        <f t="shared" si="175"/>
        <v>6.9444444444444441E-3</v>
      </c>
      <c r="KW73" s="1411">
        <f t="shared" si="176"/>
        <v>6.9444444444444441E-3</v>
      </c>
      <c r="KX73" s="1411">
        <f t="shared" si="177"/>
        <v>6.9444444444444441E-3</v>
      </c>
      <c r="KY73" s="1411">
        <f t="shared" si="178"/>
        <v>6.9444444444444441E-3</v>
      </c>
      <c r="KZ73" s="1411">
        <f t="shared" si="179"/>
        <v>6.9444444444444441E-3</v>
      </c>
      <c r="LA73" s="1411">
        <f t="shared" si="180"/>
        <v>6.9444444444444441E-3</v>
      </c>
      <c r="LB73" s="1411">
        <f t="shared" si="181"/>
        <v>6.9444444444444441E-3</v>
      </c>
      <c r="LC73" s="1411">
        <f t="shared" si="182"/>
        <v>6.9444444444444441E-3</v>
      </c>
      <c r="LD73" s="1411">
        <f t="shared" si="183"/>
        <v>6.9444444444444441E-3</v>
      </c>
      <c r="LE73" s="1411">
        <f t="shared" si="184"/>
        <v>6.9444444444444441E-3</v>
      </c>
      <c r="LF73" s="1411">
        <f t="shared" si="185"/>
        <v>6.9444444444444441E-3</v>
      </c>
      <c r="LG73" s="1411">
        <f t="shared" si="186"/>
        <v>6.9444444444444441E-3</v>
      </c>
      <c r="LH73" s="1411">
        <f t="shared" si="187"/>
        <v>6.9444444444444441E-3</v>
      </c>
      <c r="LI73" s="1411">
        <f t="shared" si="188"/>
        <v>6.9444444444444441E-3</v>
      </c>
      <c r="LJ73" s="1411">
        <f t="shared" si="189"/>
        <v>6.9444444444444441E-3</v>
      </c>
      <c r="LK73" s="1411">
        <f t="shared" si="190"/>
        <v>6.9444444444444441E-3</v>
      </c>
      <c r="LL73" s="1411">
        <f t="shared" si="191"/>
        <v>6.9444444444444441E-3</v>
      </c>
      <c r="LM73" s="1411">
        <f t="shared" si="192"/>
        <v>6.9444444444444441E-3</v>
      </c>
      <c r="LN73" s="1411">
        <f t="shared" si="193"/>
        <v>6.9444444444444441E-3</v>
      </c>
      <c r="LO73" s="1411">
        <f t="shared" si="194"/>
        <v>6.9444444444444441E-3</v>
      </c>
      <c r="LP73" s="1411">
        <f t="shared" si="195"/>
        <v>6.9444444444444441E-3</v>
      </c>
      <c r="LQ73" s="1411">
        <f t="shared" si="196"/>
        <v>6.9444444444444441E-3</v>
      </c>
      <c r="LR73" s="1411">
        <f t="shared" si="197"/>
        <v>6.9444444444444441E-3</v>
      </c>
      <c r="LS73" s="1411">
        <f t="shared" si="198"/>
        <v>6.9444444444444441E-3</v>
      </c>
      <c r="LT73" s="1411">
        <f t="shared" si="199"/>
        <v>6.9444444444444441E-3</v>
      </c>
      <c r="LU73" s="1411">
        <f t="shared" si="200"/>
        <v>6.9444444444444441E-3</v>
      </c>
      <c r="LV73" s="1411">
        <f t="shared" si="201"/>
        <v>6.9444444444444441E-3</v>
      </c>
      <c r="LW73" s="1411">
        <f t="shared" si="202"/>
        <v>6.9444444444444441E-3</v>
      </c>
      <c r="LX73" s="1411">
        <f t="shared" si="203"/>
        <v>6.9444444444444441E-3</v>
      </c>
      <c r="LY73" s="1411">
        <f t="shared" si="204"/>
        <v>6.9444444444444441E-3</v>
      </c>
      <c r="LZ73" s="1411">
        <f t="shared" si="205"/>
        <v>6.9444444444444441E-3</v>
      </c>
      <c r="MA73" s="1411">
        <f t="shared" si="206"/>
        <v>6.9444444444444441E-3</v>
      </c>
      <c r="MB73" s="1411">
        <f t="shared" si="207"/>
        <v>6.9444444444444441E-3</v>
      </c>
      <c r="MC73" s="1411">
        <f t="shared" si="208"/>
        <v>6.9444444444444441E-3</v>
      </c>
      <c r="MD73" s="1411">
        <f t="shared" si="209"/>
        <v>6.9444444444444441E-3</v>
      </c>
      <c r="ME73" s="1411">
        <f t="shared" si="210"/>
        <v>6.9444444444444441E-3</v>
      </c>
      <c r="MF73" s="1411">
        <f t="shared" si="211"/>
        <v>6.9444444444444441E-3</v>
      </c>
      <c r="MG73" s="1411">
        <f t="shared" si="212"/>
        <v>6.9444444444444441E-3</v>
      </c>
      <c r="MH73" s="1411">
        <f t="shared" si="213"/>
        <v>6.9444444444444441E-3</v>
      </c>
      <c r="MI73" s="1411">
        <f t="shared" si="214"/>
        <v>6.9444444444444441E-3</v>
      </c>
      <c r="MJ73" s="1411">
        <f t="shared" si="215"/>
        <v>6.9444444444444441E-3</v>
      </c>
      <c r="MK73" s="1411">
        <f t="shared" si="216"/>
        <v>6.9444444444444441E-3</v>
      </c>
      <c r="ML73" s="1411">
        <f t="shared" si="217"/>
        <v>6.9444444444444441E-3</v>
      </c>
      <c r="MM73" s="1411">
        <f t="shared" si="218"/>
        <v>6.9444444444444441E-3</v>
      </c>
      <c r="MN73" s="1411">
        <f t="shared" si="219"/>
        <v>6.9444444444444441E-3</v>
      </c>
      <c r="MO73" s="1411">
        <f t="shared" si="220"/>
        <v>6.9444444444444441E-3</v>
      </c>
      <c r="MP73" s="1411">
        <f t="shared" si="221"/>
        <v>6.9444444444444441E-3</v>
      </c>
      <c r="MQ73" s="1411">
        <f t="shared" si="222"/>
        <v>6.9444444444444441E-3</v>
      </c>
      <c r="MR73" s="1411">
        <f t="shared" si="223"/>
        <v>6.9444444444444441E-3</v>
      </c>
      <c r="MS73" s="1411">
        <f t="shared" si="224"/>
        <v>6.9444444444444441E-3</v>
      </c>
      <c r="MT73" s="1411">
        <f t="shared" si="225"/>
        <v>6.9444444444444441E-3</v>
      </c>
      <c r="MU73" s="1411">
        <f t="shared" si="226"/>
        <v>6.9444444444444441E-3</v>
      </c>
      <c r="MV73" s="1411">
        <f t="shared" si="227"/>
        <v>6.9444444444444441E-3</v>
      </c>
      <c r="MW73" s="1411">
        <f t="shared" si="228"/>
        <v>6.9444444444444441E-3</v>
      </c>
      <c r="MX73" s="1411">
        <f t="shared" si="229"/>
        <v>6.9444444444444441E-3</v>
      </c>
      <c r="MY73" s="1411">
        <f t="shared" si="230"/>
        <v>6.9444444444444441E-3</v>
      </c>
      <c r="MZ73" s="1411">
        <f t="shared" si="231"/>
        <v>6.9444444444444441E-3</v>
      </c>
      <c r="NA73" s="1411">
        <f t="shared" si="232"/>
        <v>6.9444444444444441E-3</v>
      </c>
      <c r="NB73" s="1411">
        <f t="shared" si="233"/>
        <v>6.9444444444444441E-3</v>
      </c>
      <c r="NC73" s="1411">
        <f t="shared" si="234"/>
        <v>6.9444444444444441E-3</v>
      </c>
      <c r="ND73" s="1411">
        <f t="shared" si="235"/>
        <v>6.9444444444444441E-3</v>
      </c>
      <c r="NE73" s="1411">
        <f t="shared" si="236"/>
        <v>6.9444444444444441E-3</v>
      </c>
      <c r="NF73" s="1411">
        <f t="shared" si="237"/>
        <v>6.9444444444444441E-3</v>
      </c>
      <c r="NG73" s="1411">
        <f t="shared" si="238"/>
        <v>6.9444444444444441E-3</v>
      </c>
      <c r="NH73" s="1411">
        <f t="shared" si="239"/>
        <v>6.9444444444444441E-3</v>
      </c>
      <c r="NI73" s="1411">
        <f t="shared" si="240"/>
        <v>6.9444444444444441E-3</v>
      </c>
      <c r="NJ73" s="1411">
        <f t="shared" si="241"/>
        <v>6.9444444444444441E-3</v>
      </c>
      <c r="NK73" s="1411">
        <f t="shared" si="242"/>
        <v>6.9444444444444441E-3</v>
      </c>
      <c r="NL73" s="1411">
        <f t="shared" si="243"/>
        <v>6.9444444444444441E-3</v>
      </c>
      <c r="NM73" s="1411">
        <f t="shared" si="244"/>
        <v>6.9444444444444441E-3</v>
      </c>
      <c r="NN73" s="1411">
        <f t="shared" si="245"/>
        <v>6.9444444444444441E-3</v>
      </c>
      <c r="NO73" s="1411">
        <f t="shared" si="246"/>
        <v>6.9444444444444441E-3</v>
      </c>
      <c r="NP73" s="1411">
        <f t="shared" si="247"/>
        <v>6.9444444444444441E-3</v>
      </c>
      <c r="NQ73" s="1411">
        <f t="shared" si="248"/>
        <v>6.9444444444444441E-3</v>
      </c>
      <c r="NR73" s="1411">
        <f t="shared" si="249"/>
        <v>6.9444444444444441E-3</v>
      </c>
      <c r="NS73" s="1411">
        <f t="shared" si="250"/>
        <v>6.9444444444444441E-3</v>
      </c>
      <c r="NT73" s="1411">
        <f t="shared" si="251"/>
        <v>6.9444444444444441E-3</v>
      </c>
      <c r="NU73" s="1411">
        <f t="shared" si="252"/>
        <v>6.9444444444444441E-3</v>
      </c>
      <c r="NV73" s="1411">
        <f t="shared" si="253"/>
        <v>6.9444444444444441E-3</v>
      </c>
      <c r="NW73" s="1411">
        <f t="shared" si="254"/>
        <v>6.9444444444444441E-3</v>
      </c>
      <c r="NX73" s="1411">
        <f t="shared" si="255"/>
        <v>6.9444444444444441E-3</v>
      </c>
      <c r="NY73" s="1411">
        <f t="shared" si="256"/>
        <v>6.9444444444444441E-3</v>
      </c>
      <c r="NZ73" s="1411">
        <f t="shared" si="257"/>
        <v>6.9444444444444441E-3</v>
      </c>
      <c r="OA73" s="1411">
        <f t="shared" si="258"/>
        <v>6.9444444444444441E-3</v>
      </c>
      <c r="OB73" s="1411">
        <f t="shared" si="259"/>
        <v>6.9444444444444441E-3</v>
      </c>
      <c r="OC73" s="1411">
        <f t="shared" si="260"/>
        <v>6.9444444444444441E-3</v>
      </c>
      <c r="OD73" s="1411">
        <f t="shared" si="261"/>
        <v>6.9444444444444441E-3</v>
      </c>
      <c r="OE73" s="1411">
        <f t="shared" si="262"/>
        <v>6.9444444444444441E-3</v>
      </c>
      <c r="OF73" s="1411">
        <f t="shared" si="263"/>
        <v>6.9444444444444441E-3</v>
      </c>
      <c r="OG73" s="1411">
        <f t="shared" si="264"/>
        <v>6.9444444444444441E-3</v>
      </c>
      <c r="OH73" s="1411">
        <f t="shared" si="265"/>
        <v>6.9444444444444441E-3</v>
      </c>
      <c r="OI73" s="1411">
        <f t="shared" si="266"/>
        <v>6.9444444444444441E-3</v>
      </c>
      <c r="OJ73" s="1411">
        <f t="shared" si="267"/>
        <v>6.9444444444444441E-3</v>
      </c>
      <c r="OK73" s="1411">
        <f t="shared" si="268"/>
        <v>6.9444444444444441E-3</v>
      </c>
      <c r="OL73" s="1411">
        <f t="shared" si="269"/>
        <v>6.9444444444444441E-3</v>
      </c>
      <c r="OM73" s="1411">
        <f t="shared" si="270"/>
        <v>6.9444444444444441E-3</v>
      </c>
      <c r="ON73" s="1411">
        <f t="shared" si="271"/>
        <v>6.9444444444444441E-3</v>
      </c>
      <c r="OO73" s="1411">
        <f t="shared" si="272"/>
        <v>6.9444444444444441E-3</v>
      </c>
      <c r="OP73" s="1411">
        <f t="shared" si="273"/>
        <v>6.9444444444444441E-3</v>
      </c>
      <c r="OQ73" s="1411">
        <f t="shared" si="274"/>
        <v>6.9444444444444441E-3</v>
      </c>
      <c r="OR73" s="1411">
        <f t="shared" si="275"/>
        <v>6.9444444444444441E-3</v>
      </c>
      <c r="OS73" s="1411">
        <f t="shared" si="276"/>
        <v>6.9444444444444441E-3</v>
      </c>
      <c r="OT73" s="1411">
        <f t="shared" si="277"/>
        <v>6.9444444444444441E-3</v>
      </c>
      <c r="OU73" s="1411">
        <f t="shared" si="278"/>
        <v>6.9444444444444441E-3</v>
      </c>
      <c r="OV73" s="1411">
        <f t="shared" si="279"/>
        <v>6.9444444444444441E-3</v>
      </c>
      <c r="OW73" s="1411">
        <f t="shared" si="280"/>
        <v>6.9444444444444441E-3</v>
      </c>
      <c r="OX73" s="1411">
        <f t="shared" si="281"/>
        <v>6.9444444444444441E-3</v>
      </c>
      <c r="OY73" s="1411">
        <f t="shared" si="282"/>
        <v>6.9444444444444441E-3</v>
      </c>
      <c r="OZ73" s="1411">
        <f t="shared" si="283"/>
        <v>6.9444444444444441E-3</v>
      </c>
      <c r="PA73" s="1411">
        <f t="shared" si="284"/>
        <v>6.9444444444444441E-3</v>
      </c>
      <c r="PB73" s="1411">
        <f t="shared" si="285"/>
        <v>6.9444444444444441E-3</v>
      </c>
      <c r="PC73" s="1411">
        <f t="shared" si="286"/>
        <v>6.9444444444444441E-3</v>
      </c>
      <c r="PD73" s="1411">
        <f t="shared" si="287"/>
        <v>6.9444444444444441E-3</v>
      </c>
      <c r="PE73" s="1411">
        <f t="shared" si="288"/>
        <v>6.9444444444444441E-3</v>
      </c>
      <c r="PF73" s="1411">
        <f t="shared" si="289"/>
        <v>6.9444444444444441E-3</v>
      </c>
      <c r="PG73" s="1411">
        <f t="shared" si="290"/>
        <v>6.9444444444444441E-3</v>
      </c>
      <c r="PH73" s="1411">
        <f t="shared" si="291"/>
        <v>6.9444444444444441E-3</v>
      </c>
      <c r="PI73" s="1411">
        <f t="shared" si="292"/>
        <v>6.9444444444444441E-3</v>
      </c>
      <c r="PJ73" s="1411">
        <f t="shared" si="293"/>
        <v>6.9444444444444441E-3</v>
      </c>
      <c r="PK73" s="1411">
        <f t="shared" si="294"/>
        <v>6.9444444444444441E-3</v>
      </c>
      <c r="PL73" s="1411">
        <f t="shared" si="295"/>
        <v>6.9444444444444441E-3</v>
      </c>
      <c r="PM73" s="1411">
        <f t="shared" si="296"/>
        <v>6.9444444444444441E-3</v>
      </c>
      <c r="PN73" s="1411">
        <f t="shared" si="297"/>
        <v>6.9444444444444441E-3</v>
      </c>
      <c r="PO73" s="1411">
        <f t="shared" si="298"/>
        <v>6.9444444444444441E-3</v>
      </c>
      <c r="PP73" s="1411">
        <f t="shared" si="299"/>
        <v>6.9444444444444441E-3</v>
      </c>
      <c r="PQ73" s="1411">
        <f t="shared" si="300"/>
        <v>6.9444444444444441E-3</v>
      </c>
      <c r="PR73" s="1411">
        <f t="shared" si="301"/>
        <v>6.9444444444444441E-3</v>
      </c>
      <c r="PS73" s="1411">
        <f t="shared" si="302"/>
        <v>6.9444444444444441E-3</v>
      </c>
      <c r="PT73" s="1411">
        <f t="shared" si="303"/>
        <v>6.9444444444444441E-3</v>
      </c>
      <c r="PU73" s="1411">
        <f t="shared" si="304"/>
        <v>6.9444444444444441E-3</v>
      </c>
      <c r="PV73" s="1411">
        <f t="shared" si="305"/>
        <v>6.9444444444444441E-3</v>
      </c>
      <c r="PW73" s="1411">
        <f t="shared" si="306"/>
        <v>6.9444444444444441E-3</v>
      </c>
      <c r="PX73" s="1411">
        <f t="shared" si="307"/>
        <v>6.9444444444444441E-3</v>
      </c>
      <c r="PY73" s="1411">
        <f t="shared" si="308"/>
        <v>6.9444444444444441E-3</v>
      </c>
      <c r="PZ73" s="1412">
        <f t="shared" si="309"/>
        <v>6.9444444444444441E-3</v>
      </c>
      <c r="QB73" s="33" t="s">
        <v>1072</v>
      </c>
      <c r="QC73" s="1432">
        <f t="shared" si="336"/>
        <v>0.33333333333333309</v>
      </c>
      <c r="QD73" s="744">
        <f t="shared" si="337"/>
        <v>0.33333333333333309</v>
      </c>
      <c r="QE73" s="1068">
        <f t="shared" si="338"/>
        <v>0.33333333333333309</v>
      </c>
      <c r="QF73" s="744">
        <f t="shared" si="339"/>
        <v>0.33333333333333309</v>
      </c>
      <c r="QG73" s="744">
        <f t="shared" si="340"/>
        <v>0.33333333333333309</v>
      </c>
      <c r="QH73" s="1068">
        <f t="shared" si="341"/>
        <v>0.33333333333333309</v>
      </c>
      <c r="QI73" s="744">
        <f t="shared" si="342"/>
        <v>0.49999999999999917</v>
      </c>
      <c r="QJ73" s="1068">
        <f t="shared" si="343"/>
        <v>0.49999999999999917</v>
      </c>
      <c r="QK73" s="744">
        <f t="shared" si="344"/>
        <v>0.49999999999999917</v>
      </c>
      <c r="QL73" s="1068">
        <f t="shared" si="345"/>
        <v>0.49999999999999917</v>
      </c>
      <c r="QM73" s="744">
        <f t="shared" si="346"/>
        <v>0.49999999999999917</v>
      </c>
      <c r="QN73" s="1068">
        <f t="shared" si="347"/>
        <v>0.49999999999999917</v>
      </c>
      <c r="QO73" s="744">
        <f t="shared" si="348"/>
        <v>0.49999999999999917</v>
      </c>
      <c r="QP73" s="1068">
        <f t="shared" si="349"/>
        <v>0.49999999999999917</v>
      </c>
      <c r="QR73" s="1432">
        <f t="shared" si="467"/>
        <v>0.11111111111111115</v>
      </c>
      <c r="QS73" s="744">
        <f t="shared" si="468"/>
        <v>0.11111111111111115</v>
      </c>
      <c r="QT73" s="744">
        <f t="shared" si="469"/>
        <v>0.11111111111111115</v>
      </c>
      <c r="QU73" s="743">
        <f t="shared" si="470"/>
        <v>0.11111111111111115</v>
      </c>
      <c r="QV73" s="744">
        <f t="shared" si="471"/>
        <v>0.11111111111111115</v>
      </c>
      <c r="QW73" s="744">
        <f t="shared" si="472"/>
        <v>0.11111111111111115</v>
      </c>
      <c r="QX73" s="743">
        <f t="shared" si="473"/>
        <v>0.11111111111111115</v>
      </c>
      <c r="QY73" s="744">
        <f t="shared" si="474"/>
        <v>0.11111111111111115</v>
      </c>
      <c r="QZ73" s="745">
        <f t="shared" si="475"/>
        <v>0.11111111111111115</v>
      </c>
      <c r="RC73" s="744">
        <f t="shared" si="359"/>
        <v>5.5555555555555566E-2</v>
      </c>
      <c r="RD73" s="744">
        <f t="shared" si="360"/>
        <v>5.5555555555555566E-2</v>
      </c>
      <c r="RE73" s="744">
        <f t="shared" si="361"/>
        <v>5.5555555555555566E-2</v>
      </c>
      <c r="RF73" s="744">
        <f t="shared" si="362"/>
        <v>5.5555555555555566E-2</v>
      </c>
      <c r="RG73" s="744">
        <f t="shared" si="363"/>
        <v>5.5555555555555566E-2</v>
      </c>
      <c r="RH73" s="744">
        <f t="shared" si="364"/>
        <v>5.5555555555555566E-2</v>
      </c>
      <c r="RI73" s="744">
        <f t="shared" si="365"/>
        <v>5.5555555555555566E-2</v>
      </c>
      <c r="RJ73" s="744">
        <f t="shared" si="366"/>
        <v>5.5555555555555566E-2</v>
      </c>
      <c r="RK73" s="744">
        <f t="shared" si="367"/>
        <v>5.5555555555555566E-2</v>
      </c>
      <c r="RL73" s="1251"/>
      <c r="RM73" s="744">
        <f t="shared" si="368"/>
        <v>5.5555555555555566E-2</v>
      </c>
      <c r="RN73" s="744">
        <f t="shared" si="369"/>
        <v>5.5555555555555566E-2</v>
      </c>
      <c r="RO73" s="744">
        <f t="shared" si="370"/>
        <v>5.5555555555555566E-2</v>
      </c>
      <c r="RP73" s="744">
        <f t="shared" si="371"/>
        <v>5.5555555555555566E-2</v>
      </c>
      <c r="RQ73" s="744">
        <f t="shared" si="372"/>
        <v>5.5555555555555566E-2</v>
      </c>
      <c r="RR73" s="744">
        <f t="shared" si="373"/>
        <v>5.5555555555555566E-2</v>
      </c>
      <c r="RS73" s="744">
        <f t="shared" si="374"/>
        <v>5.5555555555555566E-2</v>
      </c>
      <c r="RT73" s="744">
        <f t="shared" si="375"/>
        <v>5.5555555555555566E-2</v>
      </c>
      <c r="RU73" s="744">
        <f t="shared" si="376"/>
        <v>5.5555555555555566E-2</v>
      </c>
      <c r="RV73" s="744"/>
      <c r="RW73" s="744">
        <f t="shared" si="377"/>
        <v>5.5555555555555566E-2</v>
      </c>
      <c r="RX73" s="744">
        <f t="shared" si="378"/>
        <v>5.5555555555555566E-2</v>
      </c>
      <c r="RY73" s="744">
        <f t="shared" si="379"/>
        <v>5.5555555555555566E-2</v>
      </c>
      <c r="RZ73" s="744">
        <f t="shared" si="380"/>
        <v>5.5555555555555566E-2</v>
      </c>
      <c r="SA73" s="744">
        <f t="shared" si="381"/>
        <v>5.5555555555555566E-2</v>
      </c>
      <c r="SB73" s="744">
        <f t="shared" si="382"/>
        <v>5.5555555555555566E-2</v>
      </c>
      <c r="SC73" s="744">
        <f t="shared" si="383"/>
        <v>5.5555555555555566E-2</v>
      </c>
      <c r="SD73" s="744">
        <f t="shared" si="384"/>
        <v>5.5555555555555566E-2</v>
      </c>
      <c r="SE73" s="744">
        <f t="shared" si="385"/>
        <v>5.5555555555555566E-2</v>
      </c>
      <c r="SF73" s="744"/>
      <c r="SG73" s="744">
        <f t="shared" si="386"/>
        <v>5.5555555555555566E-2</v>
      </c>
      <c r="SH73" s="744">
        <f t="shared" si="387"/>
        <v>5.5555555555555566E-2</v>
      </c>
      <c r="SI73" s="744">
        <f t="shared" si="388"/>
        <v>5.5555555555555566E-2</v>
      </c>
      <c r="SJ73" s="744">
        <f t="shared" si="389"/>
        <v>5.5555555555555566E-2</v>
      </c>
      <c r="SK73" s="744">
        <f t="shared" si="390"/>
        <v>5.5555555555555566E-2</v>
      </c>
      <c r="SL73" s="744">
        <f t="shared" si="391"/>
        <v>5.5555555555555566E-2</v>
      </c>
      <c r="SM73" s="744">
        <f t="shared" si="392"/>
        <v>5.5555555555555566E-2</v>
      </c>
      <c r="SN73" s="744">
        <f t="shared" si="393"/>
        <v>5.5555555555555566E-2</v>
      </c>
      <c r="SO73" s="744">
        <f t="shared" si="394"/>
        <v>5.5555555555555566E-2</v>
      </c>
      <c r="SP73" s="100"/>
      <c r="SQ73" s="114"/>
      <c r="SR73" s="806">
        <f t="shared" si="431"/>
        <v>0.49999999999999994</v>
      </c>
      <c r="SS73" s="806">
        <f t="shared" si="432"/>
        <v>0.49999999999999994</v>
      </c>
      <c r="ST73" s="806">
        <f t="shared" si="433"/>
        <v>0.49999999999999994</v>
      </c>
      <c r="SU73" s="806">
        <f t="shared" si="434"/>
        <v>0.49999999999999994</v>
      </c>
      <c r="SV73" s="806">
        <f t="shared" si="435"/>
        <v>0.49999999999999994</v>
      </c>
      <c r="SW73" s="806">
        <f t="shared" si="436"/>
        <v>0.49999999999999994</v>
      </c>
      <c r="SX73" s="806">
        <f t="shared" si="437"/>
        <v>0.49999999999999994</v>
      </c>
      <c r="SY73" s="806">
        <f t="shared" si="438"/>
        <v>0.49999999999999994</v>
      </c>
      <c r="SZ73" s="806">
        <f t="shared" si="439"/>
        <v>0.49999999999999994</v>
      </c>
      <c r="TA73" s="806"/>
      <c r="TB73" s="806">
        <f t="shared" si="440"/>
        <v>0.49999999999999994</v>
      </c>
      <c r="TC73" s="806">
        <f t="shared" si="441"/>
        <v>0.49999999999999994</v>
      </c>
      <c r="TD73" s="806">
        <f t="shared" si="442"/>
        <v>0.49999999999999994</v>
      </c>
      <c r="TE73" s="806">
        <f t="shared" si="443"/>
        <v>0.49999999999999994</v>
      </c>
      <c r="TF73" s="806">
        <f t="shared" si="444"/>
        <v>0.49999999999999994</v>
      </c>
      <c r="TG73" s="806">
        <f t="shared" si="445"/>
        <v>0.49999999999999994</v>
      </c>
      <c r="TH73" s="806">
        <f t="shared" si="446"/>
        <v>0.49999999999999994</v>
      </c>
      <c r="TI73" s="806">
        <f t="shared" si="447"/>
        <v>0.49999999999999994</v>
      </c>
      <c r="TJ73" s="806">
        <f t="shared" si="448"/>
        <v>0.49999999999999994</v>
      </c>
      <c r="TK73" s="806"/>
      <c r="TL73" s="806">
        <f t="shared" si="449"/>
        <v>0.49999999999999994</v>
      </c>
      <c r="TM73" s="806">
        <f t="shared" si="450"/>
        <v>0.49999999999999994</v>
      </c>
      <c r="TN73" s="806">
        <f t="shared" si="451"/>
        <v>0.49999999999999994</v>
      </c>
      <c r="TO73" s="806">
        <f t="shared" si="452"/>
        <v>0.49999999999999994</v>
      </c>
      <c r="TP73" s="806">
        <f t="shared" si="453"/>
        <v>0.49999999999999994</v>
      </c>
      <c r="TQ73" s="806">
        <f t="shared" si="454"/>
        <v>0.49999999999999994</v>
      </c>
      <c r="TR73" s="806">
        <f t="shared" si="455"/>
        <v>0.49999999999999994</v>
      </c>
      <c r="TS73" s="806">
        <f t="shared" si="456"/>
        <v>0.49999999999999994</v>
      </c>
      <c r="TT73" s="806">
        <f t="shared" si="457"/>
        <v>0.49999999999999994</v>
      </c>
      <c r="TU73" s="806"/>
      <c r="TV73" s="806">
        <f t="shared" si="458"/>
        <v>0.49999999999999994</v>
      </c>
      <c r="TW73" s="806">
        <f t="shared" si="459"/>
        <v>0.49999999999999994</v>
      </c>
      <c r="TX73" s="806">
        <f t="shared" si="460"/>
        <v>0.49999999999999994</v>
      </c>
      <c r="TY73" s="806">
        <f t="shared" si="461"/>
        <v>0.49999999999999994</v>
      </c>
      <c r="TZ73" s="806">
        <f t="shared" si="462"/>
        <v>0.49999999999999994</v>
      </c>
      <c r="UA73" s="806">
        <f t="shared" si="463"/>
        <v>0.49999999999999994</v>
      </c>
      <c r="UB73" s="806">
        <f t="shared" si="464"/>
        <v>0.49999999999999994</v>
      </c>
      <c r="UC73" s="806">
        <f t="shared" si="465"/>
        <v>0.49999999999999994</v>
      </c>
      <c r="UD73" s="1439">
        <f t="shared" si="466"/>
        <v>0.49999999999999994</v>
      </c>
    </row>
    <row r="74" spans="3:550" s="7" customFormat="1" x14ac:dyDescent="0.25">
      <c r="C74" s="21"/>
      <c r="D74" s="1308">
        <v>44049</v>
      </c>
      <c r="E74" s="233">
        <v>0</v>
      </c>
      <c r="F74" s="1392">
        <v>0</v>
      </c>
      <c r="G74" s="1392">
        <v>0</v>
      </c>
      <c r="H74" s="1392">
        <v>0</v>
      </c>
      <c r="I74" s="1392">
        <v>0</v>
      </c>
      <c r="J74" s="1392">
        <v>0</v>
      </c>
      <c r="K74" s="1392">
        <v>0</v>
      </c>
      <c r="L74" s="1392">
        <v>0</v>
      </c>
      <c r="M74" s="1392">
        <v>0</v>
      </c>
      <c r="N74" s="1392">
        <v>0</v>
      </c>
      <c r="O74" s="1392">
        <v>0</v>
      </c>
      <c r="P74" s="1392">
        <v>0</v>
      </c>
      <c r="Q74" s="1392">
        <v>0</v>
      </c>
      <c r="R74" s="1392">
        <v>0</v>
      </c>
      <c r="S74" s="1392">
        <v>0</v>
      </c>
      <c r="T74" s="1392">
        <v>0</v>
      </c>
      <c r="U74" s="1392">
        <v>0</v>
      </c>
      <c r="V74" s="1392">
        <v>0</v>
      </c>
      <c r="W74" s="1392">
        <v>0</v>
      </c>
      <c r="X74" s="1392">
        <v>0</v>
      </c>
      <c r="Y74" s="1392">
        <v>0</v>
      </c>
      <c r="Z74" s="1392">
        <v>0</v>
      </c>
      <c r="AA74" s="1392">
        <v>0</v>
      </c>
      <c r="AB74" s="1392">
        <v>0</v>
      </c>
      <c r="AC74" s="1392">
        <v>0</v>
      </c>
      <c r="AD74" s="1392">
        <v>0</v>
      </c>
      <c r="AE74" s="1392">
        <v>0</v>
      </c>
      <c r="AF74" s="1392">
        <v>0</v>
      </c>
      <c r="AG74" s="1392">
        <v>0</v>
      </c>
      <c r="AH74" s="1392">
        <v>0</v>
      </c>
      <c r="AI74" s="1392">
        <v>0</v>
      </c>
      <c r="AJ74" s="1392">
        <v>0</v>
      </c>
      <c r="AK74" s="1392">
        <v>0</v>
      </c>
      <c r="AL74" s="1392">
        <v>0</v>
      </c>
      <c r="AM74" s="1392">
        <v>0</v>
      </c>
      <c r="AN74" s="1392">
        <v>0</v>
      </c>
      <c r="AO74" s="1392">
        <v>0</v>
      </c>
      <c r="AP74" s="1392">
        <v>0</v>
      </c>
      <c r="AQ74" s="1392">
        <v>0</v>
      </c>
      <c r="AR74" s="1392">
        <v>0</v>
      </c>
      <c r="AS74" s="1392">
        <v>0</v>
      </c>
      <c r="AT74" s="1392">
        <v>0</v>
      </c>
      <c r="AU74" s="1392">
        <v>0</v>
      </c>
      <c r="AV74" s="1392">
        <v>0</v>
      </c>
      <c r="AW74" s="1392">
        <v>0</v>
      </c>
      <c r="AX74" s="1392">
        <v>0</v>
      </c>
      <c r="AY74" s="1392">
        <v>0</v>
      </c>
      <c r="AZ74" s="1392">
        <v>0</v>
      </c>
      <c r="BA74" s="1392">
        <v>0</v>
      </c>
      <c r="BB74" s="1392">
        <v>0</v>
      </c>
      <c r="BC74" s="1392">
        <v>0</v>
      </c>
      <c r="BD74" s="1392">
        <v>0</v>
      </c>
      <c r="BE74" s="1392">
        <v>0</v>
      </c>
      <c r="BF74" s="1392">
        <v>0</v>
      </c>
      <c r="BG74" s="1392">
        <v>0</v>
      </c>
      <c r="BH74" s="1392">
        <v>0</v>
      </c>
      <c r="BI74" s="1392">
        <v>0</v>
      </c>
      <c r="BJ74" s="1392">
        <v>0</v>
      </c>
      <c r="BK74" s="1392">
        <v>0</v>
      </c>
      <c r="BL74" s="1392">
        <v>0</v>
      </c>
      <c r="BM74" s="1392">
        <v>0</v>
      </c>
      <c r="BN74" s="1392">
        <v>0</v>
      </c>
      <c r="BO74" s="1392">
        <v>0</v>
      </c>
      <c r="BP74" s="1392">
        <v>0</v>
      </c>
      <c r="BQ74" s="1392">
        <v>0</v>
      </c>
      <c r="BR74" s="1392">
        <v>0</v>
      </c>
      <c r="BS74" s="1392">
        <v>0</v>
      </c>
      <c r="BT74" s="1392">
        <v>0</v>
      </c>
      <c r="BU74" s="1392">
        <v>0</v>
      </c>
      <c r="BV74" s="1392">
        <v>0</v>
      </c>
      <c r="BW74" s="1392">
        <v>0</v>
      </c>
      <c r="BX74" s="1392">
        <v>0</v>
      </c>
      <c r="BY74" s="1392">
        <v>0</v>
      </c>
      <c r="BZ74" s="1392">
        <v>0</v>
      </c>
      <c r="CA74" s="1392">
        <v>0</v>
      </c>
      <c r="CB74" s="1392">
        <v>0</v>
      </c>
      <c r="CC74" s="1392">
        <v>0</v>
      </c>
      <c r="CD74" s="1392">
        <v>0</v>
      </c>
      <c r="CE74" s="1392">
        <v>0</v>
      </c>
      <c r="CF74" s="1392">
        <v>0</v>
      </c>
      <c r="CG74" s="1392">
        <v>0</v>
      </c>
      <c r="CH74" s="1392">
        <v>0</v>
      </c>
      <c r="CI74" s="1392">
        <v>0</v>
      </c>
      <c r="CJ74" s="1392">
        <v>0</v>
      </c>
      <c r="CK74" s="1392">
        <v>0</v>
      </c>
      <c r="CL74" s="1392">
        <v>0</v>
      </c>
      <c r="CM74" s="1392">
        <v>0</v>
      </c>
      <c r="CN74" s="1392">
        <v>0</v>
      </c>
      <c r="CO74" s="1392">
        <v>0</v>
      </c>
      <c r="CP74" s="1392">
        <v>0</v>
      </c>
      <c r="CQ74" s="1392">
        <v>0</v>
      </c>
      <c r="CR74" s="1392">
        <v>0</v>
      </c>
      <c r="CS74" s="1392">
        <v>0</v>
      </c>
      <c r="CT74" s="1392">
        <v>0</v>
      </c>
      <c r="CU74" s="1392">
        <v>0</v>
      </c>
      <c r="CV74" s="1392">
        <v>0</v>
      </c>
      <c r="CW74" s="1392">
        <v>0</v>
      </c>
      <c r="CX74" s="1392">
        <v>0</v>
      </c>
      <c r="CY74" s="1392">
        <v>0</v>
      </c>
      <c r="CZ74" s="1392">
        <v>0</v>
      </c>
      <c r="DA74" s="1392">
        <v>0</v>
      </c>
      <c r="DB74" s="1392">
        <v>0</v>
      </c>
      <c r="DC74" s="1392">
        <v>0</v>
      </c>
      <c r="DD74" s="1392">
        <v>0</v>
      </c>
      <c r="DE74" s="1392">
        <v>0</v>
      </c>
      <c r="DF74" s="1392">
        <v>0</v>
      </c>
      <c r="DG74" s="1392">
        <v>0</v>
      </c>
      <c r="DH74" s="1392">
        <v>0</v>
      </c>
      <c r="DI74" s="1392">
        <v>0</v>
      </c>
      <c r="DJ74" s="1392">
        <v>0</v>
      </c>
      <c r="DK74" s="1392">
        <v>0</v>
      </c>
      <c r="DL74" s="1392">
        <v>0</v>
      </c>
      <c r="DM74" s="1392">
        <v>0</v>
      </c>
      <c r="DN74" s="1392">
        <v>0</v>
      </c>
      <c r="DO74" s="1392">
        <v>0</v>
      </c>
      <c r="DP74" s="1392">
        <v>0</v>
      </c>
      <c r="DQ74" s="1392">
        <v>0</v>
      </c>
      <c r="DR74" s="1392">
        <v>0</v>
      </c>
      <c r="DS74" s="1392">
        <v>0</v>
      </c>
      <c r="DT74" s="1392">
        <v>0</v>
      </c>
      <c r="DU74" s="1392">
        <v>0</v>
      </c>
      <c r="DV74" s="1392">
        <v>0</v>
      </c>
      <c r="DW74" s="1392">
        <v>0</v>
      </c>
      <c r="DX74" s="1392">
        <v>0</v>
      </c>
      <c r="DY74" s="1392">
        <v>0</v>
      </c>
      <c r="DZ74" s="1392">
        <v>0</v>
      </c>
      <c r="EA74" s="1392">
        <v>0</v>
      </c>
      <c r="EB74" s="1392">
        <v>0</v>
      </c>
      <c r="EC74" s="1392">
        <v>0</v>
      </c>
      <c r="ED74" s="1392">
        <v>0</v>
      </c>
      <c r="EE74" s="1392">
        <v>0</v>
      </c>
      <c r="EF74" s="1392">
        <v>0</v>
      </c>
      <c r="EG74" s="1392">
        <v>0</v>
      </c>
      <c r="EH74" s="1392">
        <v>0</v>
      </c>
      <c r="EI74" s="1392">
        <v>0</v>
      </c>
      <c r="EJ74" s="1392">
        <v>0</v>
      </c>
      <c r="EK74" s="1392">
        <v>0</v>
      </c>
      <c r="EL74" s="1392">
        <v>0</v>
      </c>
      <c r="EM74" s="1392">
        <v>0</v>
      </c>
      <c r="EN74" s="1392">
        <v>0</v>
      </c>
      <c r="EO74" s="1392">
        <v>0</v>
      </c>
      <c r="EP74" s="1392">
        <v>0</v>
      </c>
      <c r="EQ74" s="1392">
        <v>0</v>
      </c>
      <c r="ER74" s="1393">
        <v>0</v>
      </c>
      <c r="ES74" s="377"/>
      <c r="ET74" s="316">
        <f t="shared" si="335"/>
        <v>1</v>
      </c>
      <c r="EU74" s="1392">
        <f t="shared" si="20"/>
        <v>1</v>
      </c>
      <c r="EV74" s="1392">
        <f t="shared" si="21"/>
        <v>1</v>
      </c>
      <c r="EW74" s="1392">
        <f t="shared" si="22"/>
        <v>1</v>
      </c>
      <c r="EX74" s="1392">
        <f t="shared" si="23"/>
        <v>1</v>
      </c>
      <c r="EY74" s="1392">
        <f t="shared" si="24"/>
        <v>1</v>
      </c>
      <c r="EZ74" s="1392">
        <f t="shared" si="25"/>
        <v>1</v>
      </c>
      <c r="FA74" s="1392">
        <f t="shared" si="26"/>
        <v>1</v>
      </c>
      <c r="FB74" s="1392">
        <f t="shared" si="27"/>
        <v>1</v>
      </c>
      <c r="FC74" s="1392">
        <f t="shared" si="28"/>
        <v>1</v>
      </c>
      <c r="FD74" s="1392">
        <f t="shared" si="29"/>
        <v>1</v>
      </c>
      <c r="FE74" s="1392">
        <f t="shared" si="30"/>
        <v>1</v>
      </c>
      <c r="FF74" s="1392">
        <f t="shared" si="31"/>
        <v>1</v>
      </c>
      <c r="FG74" s="1392">
        <f t="shared" si="32"/>
        <v>1</v>
      </c>
      <c r="FH74" s="1392">
        <f t="shared" si="33"/>
        <v>1</v>
      </c>
      <c r="FI74" s="1392">
        <f t="shared" si="34"/>
        <v>1</v>
      </c>
      <c r="FJ74" s="1392">
        <f t="shared" si="35"/>
        <v>1</v>
      </c>
      <c r="FK74" s="1392">
        <f t="shared" si="36"/>
        <v>1</v>
      </c>
      <c r="FL74" s="1392">
        <f t="shared" si="37"/>
        <v>1</v>
      </c>
      <c r="FM74" s="1392">
        <f t="shared" si="38"/>
        <v>1</v>
      </c>
      <c r="FN74" s="1392">
        <f t="shared" si="39"/>
        <v>1</v>
      </c>
      <c r="FO74" s="1392">
        <f t="shared" si="40"/>
        <v>1</v>
      </c>
      <c r="FP74" s="1392">
        <f t="shared" si="41"/>
        <v>1</v>
      </c>
      <c r="FQ74" s="1392">
        <f t="shared" si="42"/>
        <v>1</v>
      </c>
      <c r="FR74" s="1392">
        <f t="shared" si="43"/>
        <v>1</v>
      </c>
      <c r="FS74" s="1392">
        <f t="shared" si="44"/>
        <v>1</v>
      </c>
      <c r="FT74" s="1392">
        <f t="shared" si="45"/>
        <v>1</v>
      </c>
      <c r="FU74" s="1392">
        <f t="shared" si="46"/>
        <v>1</v>
      </c>
      <c r="FV74" s="1392">
        <f t="shared" si="47"/>
        <v>1</v>
      </c>
      <c r="FW74" s="1392">
        <f t="shared" si="48"/>
        <v>1</v>
      </c>
      <c r="FX74" s="1392">
        <f t="shared" si="49"/>
        <v>1</v>
      </c>
      <c r="FY74" s="1392">
        <f t="shared" si="50"/>
        <v>1</v>
      </c>
      <c r="FZ74" s="1392">
        <f t="shared" si="51"/>
        <v>1</v>
      </c>
      <c r="GA74" s="1392">
        <f t="shared" si="52"/>
        <v>1</v>
      </c>
      <c r="GB74" s="1392">
        <f t="shared" si="53"/>
        <v>1</v>
      </c>
      <c r="GC74" s="1392">
        <f t="shared" si="54"/>
        <v>1</v>
      </c>
      <c r="GD74" s="1392">
        <f t="shared" si="55"/>
        <v>1</v>
      </c>
      <c r="GE74" s="1392">
        <f t="shared" si="56"/>
        <v>1</v>
      </c>
      <c r="GF74" s="1392">
        <f t="shared" si="57"/>
        <v>1</v>
      </c>
      <c r="GG74" s="1392">
        <f t="shared" si="58"/>
        <v>1</v>
      </c>
      <c r="GH74" s="1392">
        <f t="shared" si="59"/>
        <v>1</v>
      </c>
      <c r="GI74" s="1392">
        <f t="shared" si="60"/>
        <v>1</v>
      </c>
      <c r="GJ74" s="1392">
        <f t="shared" si="61"/>
        <v>1</v>
      </c>
      <c r="GK74" s="1392">
        <f t="shared" si="62"/>
        <v>1</v>
      </c>
      <c r="GL74" s="1392">
        <f t="shared" si="63"/>
        <v>1</v>
      </c>
      <c r="GM74" s="1392">
        <f t="shared" si="64"/>
        <v>1</v>
      </c>
      <c r="GN74" s="1392">
        <f t="shared" si="65"/>
        <v>1</v>
      </c>
      <c r="GO74" s="1392">
        <f t="shared" si="66"/>
        <v>1</v>
      </c>
      <c r="GP74" s="1392">
        <f t="shared" si="67"/>
        <v>1</v>
      </c>
      <c r="GQ74" s="1392">
        <f t="shared" si="68"/>
        <v>1</v>
      </c>
      <c r="GR74" s="1392">
        <f t="shared" si="69"/>
        <v>1</v>
      </c>
      <c r="GS74" s="1392">
        <f t="shared" si="70"/>
        <v>1</v>
      </c>
      <c r="GT74" s="1392">
        <f t="shared" si="71"/>
        <v>1</v>
      </c>
      <c r="GU74" s="1392">
        <f t="shared" si="72"/>
        <v>1</v>
      </c>
      <c r="GV74" s="1392">
        <f t="shared" si="73"/>
        <v>1</v>
      </c>
      <c r="GW74" s="1392">
        <f t="shared" si="74"/>
        <v>1</v>
      </c>
      <c r="GX74" s="1392">
        <f t="shared" si="75"/>
        <v>1</v>
      </c>
      <c r="GY74" s="1392">
        <f t="shared" si="76"/>
        <v>1</v>
      </c>
      <c r="GZ74" s="1392">
        <f t="shared" si="77"/>
        <v>1</v>
      </c>
      <c r="HA74" s="1392">
        <f t="shared" si="78"/>
        <v>1</v>
      </c>
      <c r="HB74" s="1392">
        <f t="shared" si="79"/>
        <v>1</v>
      </c>
      <c r="HC74" s="1392">
        <f t="shared" si="80"/>
        <v>1</v>
      </c>
      <c r="HD74" s="1392">
        <f t="shared" si="81"/>
        <v>1</v>
      </c>
      <c r="HE74" s="1392">
        <f t="shared" si="82"/>
        <v>1</v>
      </c>
      <c r="HF74" s="1392">
        <f t="shared" si="83"/>
        <v>1</v>
      </c>
      <c r="HG74" s="1392">
        <f t="shared" si="84"/>
        <v>1</v>
      </c>
      <c r="HH74" s="1392">
        <f t="shared" si="85"/>
        <v>1</v>
      </c>
      <c r="HI74" s="1392">
        <f t="shared" si="86"/>
        <v>1</v>
      </c>
      <c r="HJ74" s="1392">
        <f t="shared" si="87"/>
        <v>1</v>
      </c>
      <c r="HK74" s="1392">
        <f t="shared" si="88"/>
        <v>1</v>
      </c>
      <c r="HL74" s="1392">
        <f t="shared" si="89"/>
        <v>1</v>
      </c>
      <c r="HM74" s="1392">
        <f t="shared" si="90"/>
        <v>1</v>
      </c>
      <c r="HN74" s="1392">
        <f t="shared" si="91"/>
        <v>1</v>
      </c>
      <c r="HO74" s="1392">
        <f t="shared" si="92"/>
        <v>1</v>
      </c>
      <c r="HP74" s="1392">
        <f t="shared" si="93"/>
        <v>1</v>
      </c>
      <c r="HQ74" s="1392">
        <f t="shared" si="94"/>
        <v>1</v>
      </c>
      <c r="HR74" s="1392">
        <f t="shared" si="95"/>
        <v>1</v>
      </c>
      <c r="HS74" s="1392">
        <f t="shared" si="96"/>
        <v>1</v>
      </c>
      <c r="HT74" s="1392">
        <f t="shared" si="97"/>
        <v>1</v>
      </c>
      <c r="HU74" s="1392">
        <f t="shared" si="98"/>
        <v>1</v>
      </c>
      <c r="HV74" s="1392">
        <f t="shared" si="99"/>
        <v>1</v>
      </c>
      <c r="HW74" s="1392">
        <f t="shared" si="100"/>
        <v>1</v>
      </c>
      <c r="HX74" s="1392">
        <f t="shared" si="101"/>
        <v>1</v>
      </c>
      <c r="HY74" s="1392">
        <f t="shared" si="102"/>
        <v>1</v>
      </c>
      <c r="HZ74" s="1392">
        <f t="shared" si="103"/>
        <v>1</v>
      </c>
      <c r="IA74" s="1392">
        <f t="shared" si="104"/>
        <v>1</v>
      </c>
      <c r="IB74" s="1392">
        <f t="shared" si="105"/>
        <v>1</v>
      </c>
      <c r="IC74" s="1392">
        <f t="shared" si="106"/>
        <v>1</v>
      </c>
      <c r="ID74" s="1392">
        <f t="shared" si="107"/>
        <v>1</v>
      </c>
      <c r="IE74" s="1392">
        <f t="shared" si="108"/>
        <v>1</v>
      </c>
      <c r="IF74" s="1392">
        <f t="shared" si="109"/>
        <v>1</v>
      </c>
      <c r="IG74" s="1392">
        <f t="shared" si="110"/>
        <v>1</v>
      </c>
      <c r="IH74" s="1392">
        <f t="shared" si="111"/>
        <v>1</v>
      </c>
      <c r="II74" s="1392">
        <f t="shared" si="112"/>
        <v>1</v>
      </c>
      <c r="IJ74" s="1392">
        <f t="shared" si="113"/>
        <v>1</v>
      </c>
      <c r="IK74" s="1392">
        <f t="shared" si="114"/>
        <v>1</v>
      </c>
      <c r="IL74" s="1392">
        <f t="shared" si="115"/>
        <v>1</v>
      </c>
      <c r="IM74" s="1392">
        <f t="shared" si="116"/>
        <v>1</v>
      </c>
      <c r="IN74" s="1392">
        <f t="shared" si="117"/>
        <v>1</v>
      </c>
      <c r="IO74" s="1392">
        <f t="shared" si="118"/>
        <v>1</v>
      </c>
      <c r="IP74" s="1392">
        <f t="shared" si="119"/>
        <v>1</v>
      </c>
      <c r="IQ74" s="1392">
        <f t="shared" si="120"/>
        <v>1</v>
      </c>
      <c r="IR74" s="1392">
        <f t="shared" si="121"/>
        <v>1</v>
      </c>
      <c r="IS74" s="1392">
        <f t="shared" si="122"/>
        <v>1</v>
      </c>
      <c r="IT74" s="1392">
        <f t="shared" si="123"/>
        <v>1</v>
      </c>
      <c r="IU74" s="1392">
        <f t="shared" si="124"/>
        <v>1</v>
      </c>
      <c r="IV74" s="1392">
        <f t="shared" si="125"/>
        <v>1</v>
      </c>
      <c r="IW74" s="1392">
        <f t="shared" si="126"/>
        <v>1</v>
      </c>
      <c r="IX74" s="1392">
        <f t="shared" si="127"/>
        <v>1</v>
      </c>
      <c r="IY74" s="1392">
        <f t="shared" si="128"/>
        <v>1</v>
      </c>
      <c r="IZ74" s="1392">
        <f t="shared" si="129"/>
        <v>1</v>
      </c>
      <c r="JA74" s="1392">
        <f t="shared" si="130"/>
        <v>1</v>
      </c>
      <c r="JB74" s="1392">
        <f t="shared" si="131"/>
        <v>1</v>
      </c>
      <c r="JC74" s="1392">
        <f t="shared" si="132"/>
        <v>1</v>
      </c>
      <c r="JD74" s="1392">
        <f t="shared" si="133"/>
        <v>1</v>
      </c>
      <c r="JE74" s="1392">
        <f t="shared" si="134"/>
        <v>1</v>
      </c>
      <c r="JF74" s="1392">
        <f t="shared" si="135"/>
        <v>1</v>
      </c>
      <c r="JG74" s="1392">
        <f t="shared" si="136"/>
        <v>1</v>
      </c>
      <c r="JH74" s="1392">
        <f t="shared" si="137"/>
        <v>1</v>
      </c>
      <c r="JI74" s="1392">
        <f t="shared" si="138"/>
        <v>1</v>
      </c>
      <c r="JJ74" s="1392">
        <f t="shared" si="139"/>
        <v>1</v>
      </c>
      <c r="JK74" s="1392">
        <f t="shared" si="140"/>
        <v>1</v>
      </c>
      <c r="JL74" s="1392">
        <f t="shared" si="141"/>
        <v>1</v>
      </c>
      <c r="JM74" s="1392">
        <f t="shared" si="142"/>
        <v>1</v>
      </c>
      <c r="JN74" s="1392">
        <f t="shared" si="143"/>
        <v>1</v>
      </c>
      <c r="JO74" s="1392">
        <f t="shared" si="144"/>
        <v>1</v>
      </c>
      <c r="JP74" s="1392">
        <f t="shared" si="145"/>
        <v>1</v>
      </c>
      <c r="JQ74" s="1392">
        <f t="shared" si="146"/>
        <v>1</v>
      </c>
      <c r="JR74" s="1392">
        <f t="shared" si="147"/>
        <v>1</v>
      </c>
      <c r="JS74" s="1392">
        <f t="shared" si="148"/>
        <v>1</v>
      </c>
      <c r="JT74" s="1392">
        <f t="shared" si="149"/>
        <v>1</v>
      </c>
      <c r="JU74" s="1392">
        <f t="shared" si="150"/>
        <v>1</v>
      </c>
      <c r="JV74" s="1392">
        <f t="shared" si="151"/>
        <v>1</v>
      </c>
      <c r="JW74" s="1392">
        <f t="shared" si="152"/>
        <v>1</v>
      </c>
      <c r="JX74" s="1392">
        <f t="shared" si="153"/>
        <v>1</v>
      </c>
      <c r="JY74" s="1392">
        <f t="shared" si="154"/>
        <v>1</v>
      </c>
      <c r="JZ74" s="1392">
        <f t="shared" si="155"/>
        <v>1</v>
      </c>
      <c r="KA74" s="1392">
        <f t="shared" si="156"/>
        <v>1</v>
      </c>
      <c r="KB74" s="1392">
        <f t="shared" si="157"/>
        <v>1</v>
      </c>
      <c r="KC74" s="1392">
        <f t="shared" si="158"/>
        <v>1</v>
      </c>
      <c r="KD74" s="1392">
        <f t="shared" si="159"/>
        <v>1</v>
      </c>
      <c r="KE74" s="1392">
        <f t="shared" si="160"/>
        <v>1</v>
      </c>
      <c r="KF74" s="1392">
        <f t="shared" si="161"/>
        <v>1</v>
      </c>
      <c r="KG74" s="1399">
        <f t="shared" si="162"/>
        <v>1</v>
      </c>
      <c r="KH74" s="1406">
        <f t="shared" si="163"/>
        <v>144</v>
      </c>
      <c r="KI74" s="377"/>
      <c r="KJ74" s="1444">
        <f t="shared" si="164"/>
        <v>19.879253198304003</v>
      </c>
      <c r="KK74" s="49">
        <f t="shared" si="165"/>
        <v>0</v>
      </c>
      <c r="KL74" s="377"/>
      <c r="KM74" s="908">
        <f t="shared" si="166"/>
        <v>6.9444444444444441E-3</v>
      </c>
      <c r="KN74" s="1411">
        <f t="shared" si="167"/>
        <v>6.9444444444444441E-3</v>
      </c>
      <c r="KO74" s="1411">
        <f t="shared" si="168"/>
        <v>6.9444444444444441E-3</v>
      </c>
      <c r="KP74" s="1411">
        <f t="shared" si="169"/>
        <v>6.9444444444444441E-3</v>
      </c>
      <c r="KQ74" s="1411">
        <f t="shared" si="170"/>
        <v>6.9444444444444441E-3</v>
      </c>
      <c r="KR74" s="1411">
        <f t="shared" si="171"/>
        <v>6.9444444444444441E-3</v>
      </c>
      <c r="KS74" s="1411">
        <f t="shared" si="172"/>
        <v>6.9444444444444441E-3</v>
      </c>
      <c r="KT74" s="1411">
        <f t="shared" si="173"/>
        <v>6.9444444444444441E-3</v>
      </c>
      <c r="KU74" s="1411">
        <f t="shared" si="174"/>
        <v>6.9444444444444441E-3</v>
      </c>
      <c r="KV74" s="1411">
        <f t="shared" si="175"/>
        <v>6.9444444444444441E-3</v>
      </c>
      <c r="KW74" s="1411">
        <f t="shared" si="176"/>
        <v>6.9444444444444441E-3</v>
      </c>
      <c r="KX74" s="1411">
        <f t="shared" si="177"/>
        <v>6.9444444444444441E-3</v>
      </c>
      <c r="KY74" s="1411">
        <f t="shared" si="178"/>
        <v>6.9444444444444441E-3</v>
      </c>
      <c r="KZ74" s="1411">
        <f t="shared" si="179"/>
        <v>6.9444444444444441E-3</v>
      </c>
      <c r="LA74" s="1411">
        <f t="shared" si="180"/>
        <v>6.9444444444444441E-3</v>
      </c>
      <c r="LB74" s="1411">
        <f t="shared" si="181"/>
        <v>6.9444444444444441E-3</v>
      </c>
      <c r="LC74" s="1411">
        <f t="shared" si="182"/>
        <v>6.9444444444444441E-3</v>
      </c>
      <c r="LD74" s="1411">
        <f t="shared" si="183"/>
        <v>6.9444444444444441E-3</v>
      </c>
      <c r="LE74" s="1411">
        <f t="shared" si="184"/>
        <v>6.9444444444444441E-3</v>
      </c>
      <c r="LF74" s="1411">
        <f t="shared" si="185"/>
        <v>6.9444444444444441E-3</v>
      </c>
      <c r="LG74" s="1411">
        <f t="shared" si="186"/>
        <v>6.9444444444444441E-3</v>
      </c>
      <c r="LH74" s="1411">
        <f t="shared" si="187"/>
        <v>6.9444444444444441E-3</v>
      </c>
      <c r="LI74" s="1411">
        <f t="shared" si="188"/>
        <v>6.9444444444444441E-3</v>
      </c>
      <c r="LJ74" s="1411">
        <f t="shared" si="189"/>
        <v>6.9444444444444441E-3</v>
      </c>
      <c r="LK74" s="1411">
        <f t="shared" si="190"/>
        <v>6.9444444444444441E-3</v>
      </c>
      <c r="LL74" s="1411">
        <f t="shared" si="191"/>
        <v>6.9444444444444441E-3</v>
      </c>
      <c r="LM74" s="1411">
        <f t="shared" si="192"/>
        <v>6.9444444444444441E-3</v>
      </c>
      <c r="LN74" s="1411">
        <f t="shared" si="193"/>
        <v>6.9444444444444441E-3</v>
      </c>
      <c r="LO74" s="1411">
        <f t="shared" si="194"/>
        <v>6.9444444444444441E-3</v>
      </c>
      <c r="LP74" s="1411">
        <f t="shared" si="195"/>
        <v>6.9444444444444441E-3</v>
      </c>
      <c r="LQ74" s="1411">
        <f t="shared" si="196"/>
        <v>6.9444444444444441E-3</v>
      </c>
      <c r="LR74" s="1411">
        <f t="shared" si="197"/>
        <v>6.9444444444444441E-3</v>
      </c>
      <c r="LS74" s="1411">
        <f t="shared" si="198"/>
        <v>6.9444444444444441E-3</v>
      </c>
      <c r="LT74" s="1411">
        <f t="shared" si="199"/>
        <v>6.9444444444444441E-3</v>
      </c>
      <c r="LU74" s="1411">
        <f t="shared" si="200"/>
        <v>6.9444444444444441E-3</v>
      </c>
      <c r="LV74" s="1411">
        <f t="shared" si="201"/>
        <v>6.9444444444444441E-3</v>
      </c>
      <c r="LW74" s="1411">
        <f t="shared" si="202"/>
        <v>6.9444444444444441E-3</v>
      </c>
      <c r="LX74" s="1411">
        <f t="shared" si="203"/>
        <v>6.9444444444444441E-3</v>
      </c>
      <c r="LY74" s="1411">
        <f t="shared" si="204"/>
        <v>6.9444444444444441E-3</v>
      </c>
      <c r="LZ74" s="1411">
        <f t="shared" si="205"/>
        <v>6.9444444444444441E-3</v>
      </c>
      <c r="MA74" s="1411">
        <f t="shared" si="206"/>
        <v>6.9444444444444441E-3</v>
      </c>
      <c r="MB74" s="1411">
        <f t="shared" si="207"/>
        <v>6.9444444444444441E-3</v>
      </c>
      <c r="MC74" s="1411">
        <f t="shared" si="208"/>
        <v>6.9444444444444441E-3</v>
      </c>
      <c r="MD74" s="1411">
        <f t="shared" si="209"/>
        <v>6.9444444444444441E-3</v>
      </c>
      <c r="ME74" s="1411">
        <f t="shared" si="210"/>
        <v>6.9444444444444441E-3</v>
      </c>
      <c r="MF74" s="1411">
        <f t="shared" si="211"/>
        <v>6.9444444444444441E-3</v>
      </c>
      <c r="MG74" s="1411">
        <f t="shared" si="212"/>
        <v>6.9444444444444441E-3</v>
      </c>
      <c r="MH74" s="1411">
        <f t="shared" si="213"/>
        <v>6.9444444444444441E-3</v>
      </c>
      <c r="MI74" s="1411">
        <f t="shared" si="214"/>
        <v>6.9444444444444441E-3</v>
      </c>
      <c r="MJ74" s="1411">
        <f t="shared" si="215"/>
        <v>6.9444444444444441E-3</v>
      </c>
      <c r="MK74" s="1411">
        <f t="shared" si="216"/>
        <v>6.9444444444444441E-3</v>
      </c>
      <c r="ML74" s="1411">
        <f t="shared" si="217"/>
        <v>6.9444444444444441E-3</v>
      </c>
      <c r="MM74" s="1411">
        <f t="shared" si="218"/>
        <v>6.9444444444444441E-3</v>
      </c>
      <c r="MN74" s="1411">
        <f t="shared" si="219"/>
        <v>6.9444444444444441E-3</v>
      </c>
      <c r="MO74" s="1411">
        <f t="shared" si="220"/>
        <v>6.9444444444444441E-3</v>
      </c>
      <c r="MP74" s="1411">
        <f t="shared" si="221"/>
        <v>6.9444444444444441E-3</v>
      </c>
      <c r="MQ74" s="1411">
        <f t="shared" si="222"/>
        <v>6.9444444444444441E-3</v>
      </c>
      <c r="MR74" s="1411">
        <f t="shared" si="223"/>
        <v>6.9444444444444441E-3</v>
      </c>
      <c r="MS74" s="1411">
        <f t="shared" si="224"/>
        <v>6.9444444444444441E-3</v>
      </c>
      <c r="MT74" s="1411">
        <f t="shared" si="225"/>
        <v>6.9444444444444441E-3</v>
      </c>
      <c r="MU74" s="1411">
        <f t="shared" si="226"/>
        <v>6.9444444444444441E-3</v>
      </c>
      <c r="MV74" s="1411">
        <f t="shared" si="227"/>
        <v>6.9444444444444441E-3</v>
      </c>
      <c r="MW74" s="1411">
        <f t="shared" si="228"/>
        <v>6.9444444444444441E-3</v>
      </c>
      <c r="MX74" s="1411">
        <f t="shared" si="229"/>
        <v>6.9444444444444441E-3</v>
      </c>
      <c r="MY74" s="1411">
        <f t="shared" si="230"/>
        <v>6.9444444444444441E-3</v>
      </c>
      <c r="MZ74" s="1411">
        <f t="shared" si="231"/>
        <v>6.9444444444444441E-3</v>
      </c>
      <c r="NA74" s="1411">
        <f t="shared" si="232"/>
        <v>6.9444444444444441E-3</v>
      </c>
      <c r="NB74" s="1411">
        <f t="shared" si="233"/>
        <v>6.9444444444444441E-3</v>
      </c>
      <c r="NC74" s="1411">
        <f t="shared" si="234"/>
        <v>6.9444444444444441E-3</v>
      </c>
      <c r="ND74" s="1411">
        <f t="shared" si="235"/>
        <v>6.9444444444444441E-3</v>
      </c>
      <c r="NE74" s="1411">
        <f t="shared" si="236"/>
        <v>6.9444444444444441E-3</v>
      </c>
      <c r="NF74" s="1411">
        <f t="shared" si="237"/>
        <v>6.9444444444444441E-3</v>
      </c>
      <c r="NG74" s="1411">
        <f t="shared" si="238"/>
        <v>6.9444444444444441E-3</v>
      </c>
      <c r="NH74" s="1411">
        <f t="shared" si="239"/>
        <v>6.9444444444444441E-3</v>
      </c>
      <c r="NI74" s="1411">
        <f t="shared" si="240"/>
        <v>6.9444444444444441E-3</v>
      </c>
      <c r="NJ74" s="1411">
        <f t="shared" si="241"/>
        <v>6.9444444444444441E-3</v>
      </c>
      <c r="NK74" s="1411">
        <f t="shared" si="242"/>
        <v>6.9444444444444441E-3</v>
      </c>
      <c r="NL74" s="1411">
        <f t="shared" si="243"/>
        <v>6.9444444444444441E-3</v>
      </c>
      <c r="NM74" s="1411">
        <f t="shared" si="244"/>
        <v>6.9444444444444441E-3</v>
      </c>
      <c r="NN74" s="1411">
        <f t="shared" si="245"/>
        <v>6.9444444444444441E-3</v>
      </c>
      <c r="NO74" s="1411">
        <f t="shared" si="246"/>
        <v>6.9444444444444441E-3</v>
      </c>
      <c r="NP74" s="1411">
        <f t="shared" si="247"/>
        <v>6.9444444444444441E-3</v>
      </c>
      <c r="NQ74" s="1411">
        <f t="shared" si="248"/>
        <v>6.9444444444444441E-3</v>
      </c>
      <c r="NR74" s="1411">
        <f t="shared" si="249"/>
        <v>6.9444444444444441E-3</v>
      </c>
      <c r="NS74" s="1411">
        <f t="shared" si="250"/>
        <v>6.9444444444444441E-3</v>
      </c>
      <c r="NT74" s="1411">
        <f t="shared" si="251"/>
        <v>6.9444444444444441E-3</v>
      </c>
      <c r="NU74" s="1411">
        <f t="shared" si="252"/>
        <v>6.9444444444444441E-3</v>
      </c>
      <c r="NV74" s="1411">
        <f t="shared" si="253"/>
        <v>6.9444444444444441E-3</v>
      </c>
      <c r="NW74" s="1411">
        <f t="shared" si="254"/>
        <v>6.9444444444444441E-3</v>
      </c>
      <c r="NX74" s="1411">
        <f t="shared" si="255"/>
        <v>6.9444444444444441E-3</v>
      </c>
      <c r="NY74" s="1411">
        <f t="shared" si="256"/>
        <v>6.9444444444444441E-3</v>
      </c>
      <c r="NZ74" s="1411">
        <f t="shared" si="257"/>
        <v>6.9444444444444441E-3</v>
      </c>
      <c r="OA74" s="1411">
        <f t="shared" si="258"/>
        <v>6.9444444444444441E-3</v>
      </c>
      <c r="OB74" s="1411">
        <f t="shared" si="259"/>
        <v>6.9444444444444441E-3</v>
      </c>
      <c r="OC74" s="1411">
        <f t="shared" si="260"/>
        <v>6.9444444444444441E-3</v>
      </c>
      <c r="OD74" s="1411">
        <f t="shared" si="261"/>
        <v>6.9444444444444441E-3</v>
      </c>
      <c r="OE74" s="1411">
        <f t="shared" si="262"/>
        <v>6.9444444444444441E-3</v>
      </c>
      <c r="OF74" s="1411">
        <f t="shared" si="263"/>
        <v>6.9444444444444441E-3</v>
      </c>
      <c r="OG74" s="1411">
        <f t="shared" si="264"/>
        <v>6.9444444444444441E-3</v>
      </c>
      <c r="OH74" s="1411">
        <f t="shared" si="265"/>
        <v>6.9444444444444441E-3</v>
      </c>
      <c r="OI74" s="1411">
        <f t="shared" si="266"/>
        <v>6.9444444444444441E-3</v>
      </c>
      <c r="OJ74" s="1411">
        <f t="shared" si="267"/>
        <v>6.9444444444444441E-3</v>
      </c>
      <c r="OK74" s="1411">
        <f t="shared" si="268"/>
        <v>6.9444444444444441E-3</v>
      </c>
      <c r="OL74" s="1411">
        <f t="shared" si="269"/>
        <v>6.9444444444444441E-3</v>
      </c>
      <c r="OM74" s="1411">
        <f t="shared" si="270"/>
        <v>6.9444444444444441E-3</v>
      </c>
      <c r="ON74" s="1411">
        <f t="shared" si="271"/>
        <v>6.9444444444444441E-3</v>
      </c>
      <c r="OO74" s="1411">
        <f t="shared" si="272"/>
        <v>6.9444444444444441E-3</v>
      </c>
      <c r="OP74" s="1411">
        <f t="shared" si="273"/>
        <v>6.9444444444444441E-3</v>
      </c>
      <c r="OQ74" s="1411">
        <f t="shared" si="274"/>
        <v>6.9444444444444441E-3</v>
      </c>
      <c r="OR74" s="1411">
        <f t="shared" si="275"/>
        <v>6.9444444444444441E-3</v>
      </c>
      <c r="OS74" s="1411">
        <f t="shared" si="276"/>
        <v>6.9444444444444441E-3</v>
      </c>
      <c r="OT74" s="1411">
        <f t="shared" si="277"/>
        <v>6.9444444444444441E-3</v>
      </c>
      <c r="OU74" s="1411">
        <f t="shared" si="278"/>
        <v>6.9444444444444441E-3</v>
      </c>
      <c r="OV74" s="1411">
        <f t="shared" si="279"/>
        <v>6.9444444444444441E-3</v>
      </c>
      <c r="OW74" s="1411">
        <f t="shared" si="280"/>
        <v>6.9444444444444441E-3</v>
      </c>
      <c r="OX74" s="1411">
        <f t="shared" si="281"/>
        <v>6.9444444444444441E-3</v>
      </c>
      <c r="OY74" s="1411">
        <f t="shared" si="282"/>
        <v>6.9444444444444441E-3</v>
      </c>
      <c r="OZ74" s="1411">
        <f t="shared" si="283"/>
        <v>6.9444444444444441E-3</v>
      </c>
      <c r="PA74" s="1411">
        <f t="shared" si="284"/>
        <v>6.9444444444444441E-3</v>
      </c>
      <c r="PB74" s="1411">
        <f t="shared" si="285"/>
        <v>6.9444444444444441E-3</v>
      </c>
      <c r="PC74" s="1411">
        <f t="shared" si="286"/>
        <v>6.9444444444444441E-3</v>
      </c>
      <c r="PD74" s="1411">
        <f t="shared" si="287"/>
        <v>6.9444444444444441E-3</v>
      </c>
      <c r="PE74" s="1411">
        <f t="shared" si="288"/>
        <v>6.9444444444444441E-3</v>
      </c>
      <c r="PF74" s="1411">
        <f t="shared" si="289"/>
        <v>6.9444444444444441E-3</v>
      </c>
      <c r="PG74" s="1411">
        <f t="shared" si="290"/>
        <v>6.9444444444444441E-3</v>
      </c>
      <c r="PH74" s="1411">
        <f t="shared" si="291"/>
        <v>6.9444444444444441E-3</v>
      </c>
      <c r="PI74" s="1411">
        <f t="shared" si="292"/>
        <v>6.9444444444444441E-3</v>
      </c>
      <c r="PJ74" s="1411">
        <f t="shared" si="293"/>
        <v>6.9444444444444441E-3</v>
      </c>
      <c r="PK74" s="1411">
        <f t="shared" si="294"/>
        <v>6.9444444444444441E-3</v>
      </c>
      <c r="PL74" s="1411">
        <f t="shared" si="295"/>
        <v>6.9444444444444441E-3</v>
      </c>
      <c r="PM74" s="1411">
        <f t="shared" si="296"/>
        <v>6.9444444444444441E-3</v>
      </c>
      <c r="PN74" s="1411">
        <f t="shared" si="297"/>
        <v>6.9444444444444441E-3</v>
      </c>
      <c r="PO74" s="1411">
        <f t="shared" si="298"/>
        <v>6.9444444444444441E-3</v>
      </c>
      <c r="PP74" s="1411">
        <f t="shared" si="299"/>
        <v>6.9444444444444441E-3</v>
      </c>
      <c r="PQ74" s="1411">
        <f t="shared" si="300"/>
        <v>6.9444444444444441E-3</v>
      </c>
      <c r="PR74" s="1411">
        <f t="shared" si="301"/>
        <v>6.9444444444444441E-3</v>
      </c>
      <c r="PS74" s="1411">
        <f t="shared" si="302"/>
        <v>6.9444444444444441E-3</v>
      </c>
      <c r="PT74" s="1411">
        <f t="shared" si="303"/>
        <v>6.9444444444444441E-3</v>
      </c>
      <c r="PU74" s="1411">
        <f t="shared" si="304"/>
        <v>6.9444444444444441E-3</v>
      </c>
      <c r="PV74" s="1411">
        <f t="shared" si="305"/>
        <v>6.9444444444444441E-3</v>
      </c>
      <c r="PW74" s="1411">
        <f t="shared" si="306"/>
        <v>6.9444444444444441E-3</v>
      </c>
      <c r="PX74" s="1411">
        <f t="shared" si="307"/>
        <v>6.9444444444444441E-3</v>
      </c>
      <c r="PY74" s="1411">
        <f t="shared" si="308"/>
        <v>6.9444444444444441E-3</v>
      </c>
      <c r="PZ74" s="1412">
        <f t="shared" si="309"/>
        <v>6.9444444444444441E-3</v>
      </c>
      <c r="QB74" s="33" t="s">
        <v>1072</v>
      </c>
      <c r="QC74" s="1432">
        <f t="shared" si="336"/>
        <v>0.33333333333333309</v>
      </c>
      <c r="QD74" s="744">
        <f t="shared" si="337"/>
        <v>0.33333333333333309</v>
      </c>
      <c r="QE74" s="1068">
        <f t="shared" si="338"/>
        <v>0.33333333333333309</v>
      </c>
      <c r="QF74" s="744">
        <f t="shared" si="339"/>
        <v>0.33333333333333309</v>
      </c>
      <c r="QG74" s="744">
        <f t="shared" si="340"/>
        <v>0.33333333333333309</v>
      </c>
      <c r="QH74" s="1068">
        <f t="shared" si="341"/>
        <v>0.33333333333333309</v>
      </c>
      <c r="QI74" s="744">
        <f t="shared" si="342"/>
        <v>0.49999999999999917</v>
      </c>
      <c r="QJ74" s="1068">
        <f t="shared" si="343"/>
        <v>0.49999999999999917</v>
      </c>
      <c r="QK74" s="744">
        <f t="shared" si="344"/>
        <v>0.49999999999999917</v>
      </c>
      <c r="QL74" s="1068">
        <f t="shared" si="345"/>
        <v>0.49999999999999917</v>
      </c>
      <c r="QM74" s="744">
        <f t="shared" si="346"/>
        <v>0.49999999999999917</v>
      </c>
      <c r="QN74" s="1068">
        <f t="shared" si="347"/>
        <v>0.49999999999999917</v>
      </c>
      <c r="QO74" s="744">
        <f t="shared" si="348"/>
        <v>0.49999999999999917</v>
      </c>
      <c r="QP74" s="1068">
        <f t="shared" si="349"/>
        <v>0.49999999999999917</v>
      </c>
      <c r="QR74" s="1432">
        <f t="shared" si="467"/>
        <v>0.11111111111111115</v>
      </c>
      <c r="QS74" s="744">
        <f t="shared" si="468"/>
        <v>0.11111111111111115</v>
      </c>
      <c r="QT74" s="744">
        <f t="shared" si="469"/>
        <v>0.11111111111111115</v>
      </c>
      <c r="QU74" s="743">
        <f t="shared" si="470"/>
        <v>0.11111111111111115</v>
      </c>
      <c r="QV74" s="744">
        <f t="shared" si="471"/>
        <v>0.11111111111111115</v>
      </c>
      <c r="QW74" s="744">
        <f t="shared" si="472"/>
        <v>0.11111111111111115</v>
      </c>
      <c r="QX74" s="743">
        <f t="shared" si="473"/>
        <v>0.11111111111111115</v>
      </c>
      <c r="QY74" s="744">
        <f t="shared" si="474"/>
        <v>0.11111111111111115</v>
      </c>
      <c r="QZ74" s="745">
        <f t="shared" si="475"/>
        <v>0.11111111111111115</v>
      </c>
      <c r="RC74" s="744">
        <f t="shared" si="359"/>
        <v>5.5555555555555566E-2</v>
      </c>
      <c r="RD74" s="744">
        <f t="shared" si="360"/>
        <v>5.5555555555555566E-2</v>
      </c>
      <c r="RE74" s="744">
        <f t="shared" si="361"/>
        <v>5.5555555555555566E-2</v>
      </c>
      <c r="RF74" s="744">
        <f t="shared" si="362"/>
        <v>5.5555555555555566E-2</v>
      </c>
      <c r="RG74" s="744">
        <f t="shared" si="363"/>
        <v>5.5555555555555566E-2</v>
      </c>
      <c r="RH74" s="744">
        <f t="shared" si="364"/>
        <v>5.5555555555555566E-2</v>
      </c>
      <c r="RI74" s="744">
        <f t="shared" si="365"/>
        <v>5.5555555555555566E-2</v>
      </c>
      <c r="RJ74" s="744">
        <f t="shared" si="366"/>
        <v>5.5555555555555566E-2</v>
      </c>
      <c r="RK74" s="744">
        <f t="shared" si="367"/>
        <v>5.5555555555555566E-2</v>
      </c>
      <c r="RL74" s="1251"/>
      <c r="RM74" s="744">
        <f t="shared" si="368"/>
        <v>5.5555555555555566E-2</v>
      </c>
      <c r="RN74" s="744">
        <f t="shared" si="369"/>
        <v>5.5555555555555566E-2</v>
      </c>
      <c r="RO74" s="744">
        <f t="shared" si="370"/>
        <v>5.5555555555555566E-2</v>
      </c>
      <c r="RP74" s="744">
        <f t="shared" si="371"/>
        <v>5.5555555555555566E-2</v>
      </c>
      <c r="RQ74" s="744">
        <f t="shared" si="372"/>
        <v>5.5555555555555566E-2</v>
      </c>
      <c r="RR74" s="744">
        <f t="shared" si="373"/>
        <v>5.5555555555555566E-2</v>
      </c>
      <c r="RS74" s="744">
        <f t="shared" si="374"/>
        <v>5.5555555555555566E-2</v>
      </c>
      <c r="RT74" s="744">
        <f t="shared" si="375"/>
        <v>5.5555555555555566E-2</v>
      </c>
      <c r="RU74" s="744">
        <f t="shared" si="376"/>
        <v>5.5555555555555566E-2</v>
      </c>
      <c r="RV74" s="744"/>
      <c r="RW74" s="744">
        <f t="shared" si="377"/>
        <v>5.5555555555555566E-2</v>
      </c>
      <c r="RX74" s="744">
        <f t="shared" si="378"/>
        <v>5.5555555555555566E-2</v>
      </c>
      <c r="RY74" s="744">
        <f t="shared" si="379"/>
        <v>5.5555555555555566E-2</v>
      </c>
      <c r="RZ74" s="744">
        <f t="shared" si="380"/>
        <v>5.5555555555555566E-2</v>
      </c>
      <c r="SA74" s="744">
        <f t="shared" si="381"/>
        <v>5.5555555555555566E-2</v>
      </c>
      <c r="SB74" s="744">
        <f t="shared" si="382"/>
        <v>5.5555555555555566E-2</v>
      </c>
      <c r="SC74" s="744">
        <f t="shared" si="383"/>
        <v>5.5555555555555566E-2</v>
      </c>
      <c r="SD74" s="744">
        <f t="shared" si="384"/>
        <v>5.5555555555555566E-2</v>
      </c>
      <c r="SE74" s="744">
        <f t="shared" si="385"/>
        <v>5.5555555555555566E-2</v>
      </c>
      <c r="SF74" s="744"/>
      <c r="SG74" s="744">
        <f t="shared" si="386"/>
        <v>5.5555555555555566E-2</v>
      </c>
      <c r="SH74" s="744">
        <f t="shared" si="387"/>
        <v>5.5555555555555566E-2</v>
      </c>
      <c r="SI74" s="744">
        <f t="shared" si="388"/>
        <v>5.5555555555555566E-2</v>
      </c>
      <c r="SJ74" s="744">
        <f t="shared" si="389"/>
        <v>5.5555555555555566E-2</v>
      </c>
      <c r="SK74" s="744">
        <f t="shared" si="390"/>
        <v>5.5555555555555566E-2</v>
      </c>
      <c r="SL74" s="744">
        <f t="shared" si="391"/>
        <v>5.5555555555555566E-2</v>
      </c>
      <c r="SM74" s="744">
        <f t="shared" si="392"/>
        <v>5.5555555555555566E-2</v>
      </c>
      <c r="SN74" s="744">
        <f t="shared" si="393"/>
        <v>5.5555555555555566E-2</v>
      </c>
      <c r="SO74" s="744">
        <f t="shared" si="394"/>
        <v>5.5555555555555566E-2</v>
      </c>
      <c r="SP74" s="100"/>
      <c r="SQ74" s="114"/>
      <c r="SR74" s="806">
        <f t="shared" si="431"/>
        <v>0.49999999999999994</v>
      </c>
      <c r="SS74" s="806">
        <f t="shared" si="432"/>
        <v>0.49999999999999994</v>
      </c>
      <c r="ST74" s="806">
        <f t="shared" si="433"/>
        <v>0.49999999999999994</v>
      </c>
      <c r="SU74" s="806">
        <f t="shared" si="434"/>
        <v>0.49999999999999994</v>
      </c>
      <c r="SV74" s="806">
        <f t="shared" si="435"/>
        <v>0.49999999999999994</v>
      </c>
      <c r="SW74" s="806">
        <f t="shared" si="436"/>
        <v>0.49999999999999994</v>
      </c>
      <c r="SX74" s="806">
        <f t="shared" si="437"/>
        <v>0.49999999999999994</v>
      </c>
      <c r="SY74" s="806">
        <f t="shared" si="438"/>
        <v>0.49999999999999994</v>
      </c>
      <c r="SZ74" s="806">
        <f t="shared" si="439"/>
        <v>0.49999999999999994</v>
      </c>
      <c r="TA74" s="806"/>
      <c r="TB74" s="806">
        <f t="shared" si="440"/>
        <v>0.49999999999999994</v>
      </c>
      <c r="TC74" s="806">
        <f t="shared" si="441"/>
        <v>0.49999999999999994</v>
      </c>
      <c r="TD74" s="806">
        <f t="shared" si="442"/>
        <v>0.49999999999999994</v>
      </c>
      <c r="TE74" s="806">
        <f t="shared" si="443"/>
        <v>0.49999999999999994</v>
      </c>
      <c r="TF74" s="806">
        <f t="shared" si="444"/>
        <v>0.49999999999999994</v>
      </c>
      <c r="TG74" s="806">
        <f t="shared" si="445"/>
        <v>0.49999999999999994</v>
      </c>
      <c r="TH74" s="806">
        <f t="shared" si="446"/>
        <v>0.49999999999999994</v>
      </c>
      <c r="TI74" s="806">
        <f t="shared" si="447"/>
        <v>0.49999999999999994</v>
      </c>
      <c r="TJ74" s="806">
        <f t="shared" si="448"/>
        <v>0.49999999999999994</v>
      </c>
      <c r="TK74" s="806"/>
      <c r="TL74" s="806">
        <f t="shared" si="449"/>
        <v>0.49999999999999994</v>
      </c>
      <c r="TM74" s="806">
        <f t="shared" si="450"/>
        <v>0.49999999999999994</v>
      </c>
      <c r="TN74" s="806">
        <f t="shared" si="451"/>
        <v>0.49999999999999994</v>
      </c>
      <c r="TO74" s="806">
        <f t="shared" si="452"/>
        <v>0.49999999999999994</v>
      </c>
      <c r="TP74" s="806">
        <f t="shared" si="453"/>
        <v>0.49999999999999994</v>
      </c>
      <c r="TQ74" s="806">
        <f t="shared" si="454"/>
        <v>0.49999999999999994</v>
      </c>
      <c r="TR74" s="806">
        <f t="shared" si="455"/>
        <v>0.49999999999999994</v>
      </c>
      <c r="TS74" s="806">
        <f t="shared" si="456"/>
        <v>0.49999999999999994</v>
      </c>
      <c r="TT74" s="806">
        <f t="shared" si="457"/>
        <v>0.49999999999999994</v>
      </c>
      <c r="TU74" s="806"/>
      <c r="TV74" s="806">
        <f t="shared" si="458"/>
        <v>0.49999999999999994</v>
      </c>
      <c r="TW74" s="806">
        <f t="shared" si="459"/>
        <v>0.49999999999999994</v>
      </c>
      <c r="TX74" s="806">
        <f t="shared" si="460"/>
        <v>0.49999999999999994</v>
      </c>
      <c r="TY74" s="806">
        <f t="shared" si="461"/>
        <v>0.49999999999999994</v>
      </c>
      <c r="TZ74" s="806">
        <f t="shared" si="462"/>
        <v>0.49999999999999994</v>
      </c>
      <c r="UA74" s="806">
        <f t="shared" si="463"/>
        <v>0.49999999999999994</v>
      </c>
      <c r="UB74" s="806">
        <f t="shared" si="464"/>
        <v>0.49999999999999994</v>
      </c>
      <c r="UC74" s="806">
        <f t="shared" si="465"/>
        <v>0.49999999999999994</v>
      </c>
      <c r="UD74" s="1439">
        <f t="shared" si="466"/>
        <v>0.49999999999999994</v>
      </c>
    </row>
    <row r="75" spans="3:550" s="7" customFormat="1" x14ac:dyDescent="0.25">
      <c r="C75" s="21"/>
      <c r="D75" s="1308">
        <v>44050</v>
      </c>
      <c r="E75" s="233">
        <v>0</v>
      </c>
      <c r="F75" s="1392">
        <v>0</v>
      </c>
      <c r="G75" s="1392">
        <v>0</v>
      </c>
      <c r="H75" s="1392">
        <v>0</v>
      </c>
      <c r="I75" s="1392">
        <v>0</v>
      </c>
      <c r="J75" s="1392">
        <v>0</v>
      </c>
      <c r="K75" s="1392">
        <v>0</v>
      </c>
      <c r="L75" s="1392">
        <v>0</v>
      </c>
      <c r="M75" s="1392">
        <v>0</v>
      </c>
      <c r="N75" s="1392">
        <v>0</v>
      </c>
      <c r="O75" s="1392">
        <v>0</v>
      </c>
      <c r="P75" s="1392">
        <v>0</v>
      </c>
      <c r="Q75" s="1392">
        <v>0</v>
      </c>
      <c r="R75" s="1392">
        <v>0</v>
      </c>
      <c r="S75" s="1392">
        <v>0</v>
      </c>
      <c r="T75" s="1392">
        <v>0</v>
      </c>
      <c r="U75" s="1392">
        <v>0</v>
      </c>
      <c r="V75" s="1392">
        <v>0</v>
      </c>
      <c r="W75" s="1392">
        <v>0</v>
      </c>
      <c r="X75" s="1392">
        <v>0</v>
      </c>
      <c r="Y75" s="1392">
        <v>0</v>
      </c>
      <c r="Z75" s="1392">
        <v>0</v>
      </c>
      <c r="AA75" s="1392">
        <v>0</v>
      </c>
      <c r="AB75" s="1392">
        <v>0</v>
      </c>
      <c r="AC75" s="1392">
        <v>0</v>
      </c>
      <c r="AD75" s="1392">
        <v>0</v>
      </c>
      <c r="AE75" s="1392">
        <v>0</v>
      </c>
      <c r="AF75" s="1392">
        <v>0</v>
      </c>
      <c r="AG75" s="1392">
        <v>0</v>
      </c>
      <c r="AH75" s="1392">
        <v>0</v>
      </c>
      <c r="AI75" s="1392">
        <v>0</v>
      </c>
      <c r="AJ75" s="1392">
        <v>0</v>
      </c>
      <c r="AK75" s="1392">
        <v>0</v>
      </c>
      <c r="AL75" s="1392">
        <v>0</v>
      </c>
      <c r="AM75" s="1392">
        <v>0</v>
      </c>
      <c r="AN75" s="1392">
        <v>0</v>
      </c>
      <c r="AO75" s="1392">
        <v>0</v>
      </c>
      <c r="AP75" s="1392">
        <v>0</v>
      </c>
      <c r="AQ75" s="1392">
        <v>0</v>
      </c>
      <c r="AR75" s="1392">
        <v>0</v>
      </c>
      <c r="AS75" s="1392">
        <v>0</v>
      </c>
      <c r="AT75" s="1392">
        <v>0</v>
      </c>
      <c r="AU75" s="1392">
        <v>0</v>
      </c>
      <c r="AV75" s="1392">
        <v>0</v>
      </c>
      <c r="AW75" s="1392">
        <v>0</v>
      </c>
      <c r="AX75" s="1392">
        <v>0</v>
      </c>
      <c r="AY75" s="1392">
        <v>0</v>
      </c>
      <c r="AZ75" s="1392">
        <v>0</v>
      </c>
      <c r="BA75" s="1392">
        <v>0</v>
      </c>
      <c r="BB75" s="1392">
        <v>0</v>
      </c>
      <c r="BC75" s="1392">
        <v>0</v>
      </c>
      <c r="BD75" s="1392">
        <v>0</v>
      </c>
      <c r="BE75" s="1392">
        <v>0</v>
      </c>
      <c r="BF75" s="1392">
        <v>0</v>
      </c>
      <c r="BG75" s="1392">
        <v>0</v>
      </c>
      <c r="BH75" s="1392">
        <v>0</v>
      </c>
      <c r="BI75" s="1392">
        <v>0</v>
      </c>
      <c r="BJ75" s="1392">
        <v>0</v>
      </c>
      <c r="BK75" s="1392">
        <v>0</v>
      </c>
      <c r="BL75" s="1392">
        <v>0</v>
      </c>
      <c r="BM75" s="1392">
        <v>0</v>
      </c>
      <c r="BN75" s="1392">
        <v>0</v>
      </c>
      <c r="BO75" s="1392">
        <v>0</v>
      </c>
      <c r="BP75" s="1392">
        <v>0</v>
      </c>
      <c r="BQ75" s="1392">
        <v>0</v>
      </c>
      <c r="BR75" s="1392">
        <v>0</v>
      </c>
      <c r="BS75" s="1392">
        <v>0</v>
      </c>
      <c r="BT75" s="1392">
        <v>0</v>
      </c>
      <c r="BU75" s="1392">
        <v>0</v>
      </c>
      <c r="BV75" s="1392">
        <v>0</v>
      </c>
      <c r="BW75" s="1392">
        <v>0</v>
      </c>
      <c r="BX75" s="1392">
        <v>0</v>
      </c>
      <c r="BY75" s="1392">
        <v>0</v>
      </c>
      <c r="BZ75" s="1392">
        <v>0</v>
      </c>
      <c r="CA75" s="1392">
        <v>0</v>
      </c>
      <c r="CB75" s="1392">
        <v>0</v>
      </c>
      <c r="CC75" s="1392">
        <v>0</v>
      </c>
      <c r="CD75" s="1392">
        <v>0</v>
      </c>
      <c r="CE75" s="1392">
        <v>0</v>
      </c>
      <c r="CF75" s="1392">
        <v>0</v>
      </c>
      <c r="CG75" s="1392">
        <v>0</v>
      </c>
      <c r="CH75" s="1392">
        <v>0</v>
      </c>
      <c r="CI75" s="1392">
        <v>0</v>
      </c>
      <c r="CJ75" s="1392">
        <v>0</v>
      </c>
      <c r="CK75" s="1392">
        <v>0</v>
      </c>
      <c r="CL75" s="1392">
        <v>0</v>
      </c>
      <c r="CM75" s="1392">
        <v>0</v>
      </c>
      <c r="CN75" s="1392">
        <v>0</v>
      </c>
      <c r="CO75" s="1392">
        <v>0</v>
      </c>
      <c r="CP75" s="1392">
        <v>0</v>
      </c>
      <c r="CQ75" s="1392">
        <v>0</v>
      </c>
      <c r="CR75" s="1392">
        <v>0</v>
      </c>
      <c r="CS75" s="1392">
        <v>0</v>
      </c>
      <c r="CT75" s="1392">
        <v>0</v>
      </c>
      <c r="CU75" s="1392">
        <v>0</v>
      </c>
      <c r="CV75" s="1392">
        <v>0</v>
      </c>
      <c r="CW75" s="1392">
        <v>0</v>
      </c>
      <c r="CX75" s="1392">
        <v>0</v>
      </c>
      <c r="CY75" s="1392">
        <v>0</v>
      </c>
      <c r="CZ75" s="1392">
        <v>0</v>
      </c>
      <c r="DA75" s="1392">
        <v>0</v>
      </c>
      <c r="DB75" s="1392">
        <v>0</v>
      </c>
      <c r="DC75" s="1392">
        <v>0</v>
      </c>
      <c r="DD75" s="1392">
        <v>0</v>
      </c>
      <c r="DE75" s="1392">
        <v>0</v>
      </c>
      <c r="DF75" s="1392">
        <v>0</v>
      </c>
      <c r="DG75" s="1392">
        <v>0</v>
      </c>
      <c r="DH75" s="1392">
        <v>0</v>
      </c>
      <c r="DI75" s="1392">
        <v>0</v>
      </c>
      <c r="DJ75" s="1392">
        <v>0</v>
      </c>
      <c r="DK75" s="1392">
        <v>0</v>
      </c>
      <c r="DL75" s="1392">
        <v>0</v>
      </c>
      <c r="DM75" s="1392">
        <v>0</v>
      </c>
      <c r="DN75" s="1392">
        <v>0</v>
      </c>
      <c r="DO75" s="1392">
        <v>0</v>
      </c>
      <c r="DP75" s="1392">
        <v>0</v>
      </c>
      <c r="DQ75" s="1392">
        <v>0</v>
      </c>
      <c r="DR75" s="1392">
        <v>0</v>
      </c>
      <c r="DS75" s="1392">
        <v>0</v>
      </c>
      <c r="DT75" s="1392">
        <v>0</v>
      </c>
      <c r="DU75" s="1392">
        <v>0</v>
      </c>
      <c r="DV75" s="1392">
        <v>0</v>
      </c>
      <c r="DW75" s="1392">
        <v>0</v>
      </c>
      <c r="DX75" s="1392">
        <v>0</v>
      </c>
      <c r="DY75" s="1392">
        <v>0</v>
      </c>
      <c r="DZ75" s="1392">
        <v>0</v>
      </c>
      <c r="EA75" s="1392">
        <v>0</v>
      </c>
      <c r="EB75" s="1392">
        <v>0</v>
      </c>
      <c r="EC75" s="1392">
        <v>0</v>
      </c>
      <c r="ED75" s="1392">
        <v>0</v>
      </c>
      <c r="EE75" s="1392">
        <v>0</v>
      </c>
      <c r="EF75" s="1392">
        <v>0</v>
      </c>
      <c r="EG75" s="1392">
        <v>0</v>
      </c>
      <c r="EH75" s="1392">
        <v>0</v>
      </c>
      <c r="EI75" s="1392">
        <v>0</v>
      </c>
      <c r="EJ75" s="1392">
        <v>0</v>
      </c>
      <c r="EK75" s="1392">
        <v>0</v>
      </c>
      <c r="EL75" s="1392">
        <v>0</v>
      </c>
      <c r="EM75" s="1392">
        <v>0</v>
      </c>
      <c r="EN75" s="1392">
        <v>0</v>
      </c>
      <c r="EO75" s="1392">
        <v>0</v>
      </c>
      <c r="EP75" s="1392">
        <v>0</v>
      </c>
      <c r="EQ75" s="1392">
        <v>0</v>
      </c>
      <c r="ER75" s="1393">
        <v>0</v>
      </c>
      <c r="ES75" s="377"/>
      <c r="ET75" s="316">
        <f t="shared" si="335"/>
        <v>1</v>
      </c>
      <c r="EU75" s="1392">
        <f t="shared" si="20"/>
        <v>1</v>
      </c>
      <c r="EV75" s="1392">
        <f t="shared" si="21"/>
        <v>1</v>
      </c>
      <c r="EW75" s="1392">
        <f t="shared" si="22"/>
        <v>1</v>
      </c>
      <c r="EX75" s="1392">
        <f t="shared" si="23"/>
        <v>1</v>
      </c>
      <c r="EY75" s="1392">
        <f t="shared" si="24"/>
        <v>1</v>
      </c>
      <c r="EZ75" s="1392">
        <f t="shared" si="25"/>
        <v>1</v>
      </c>
      <c r="FA75" s="1392">
        <f t="shared" si="26"/>
        <v>1</v>
      </c>
      <c r="FB75" s="1392">
        <f t="shared" si="27"/>
        <v>1</v>
      </c>
      <c r="FC75" s="1392">
        <f t="shared" si="28"/>
        <v>1</v>
      </c>
      <c r="FD75" s="1392">
        <f t="shared" si="29"/>
        <v>1</v>
      </c>
      <c r="FE75" s="1392">
        <f t="shared" si="30"/>
        <v>1</v>
      </c>
      <c r="FF75" s="1392">
        <f t="shared" si="31"/>
        <v>1</v>
      </c>
      <c r="FG75" s="1392">
        <f t="shared" si="32"/>
        <v>1</v>
      </c>
      <c r="FH75" s="1392">
        <f t="shared" si="33"/>
        <v>1</v>
      </c>
      <c r="FI75" s="1392">
        <f t="shared" si="34"/>
        <v>1</v>
      </c>
      <c r="FJ75" s="1392">
        <f t="shared" si="35"/>
        <v>1</v>
      </c>
      <c r="FK75" s="1392">
        <f t="shared" si="36"/>
        <v>1</v>
      </c>
      <c r="FL75" s="1392">
        <f t="shared" si="37"/>
        <v>1</v>
      </c>
      <c r="FM75" s="1392">
        <f t="shared" si="38"/>
        <v>1</v>
      </c>
      <c r="FN75" s="1392">
        <f t="shared" si="39"/>
        <v>1</v>
      </c>
      <c r="FO75" s="1392">
        <f t="shared" si="40"/>
        <v>1</v>
      </c>
      <c r="FP75" s="1392">
        <f t="shared" si="41"/>
        <v>1</v>
      </c>
      <c r="FQ75" s="1392">
        <f t="shared" si="42"/>
        <v>1</v>
      </c>
      <c r="FR75" s="1392">
        <f t="shared" si="43"/>
        <v>1</v>
      </c>
      <c r="FS75" s="1392">
        <f t="shared" si="44"/>
        <v>1</v>
      </c>
      <c r="FT75" s="1392">
        <f t="shared" si="45"/>
        <v>1</v>
      </c>
      <c r="FU75" s="1392">
        <f t="shared" si="46"/>
        <v>1</v>
      </c>
      <c r="FV75" s="1392">
        <f t="shared" si="47"/>
        <v>1</v>
      </c>
      <c r="FW75" s="1392">
        <f t="shared" si="48"/>
        <v>1</v>
      </c>
      <c r="FX75" s="1392">
        <f t="shared" si="49"/>
        <v>1</v>
      </c>
      <c r="FY75" s="1392">
        <f t="shared" si="50"/>
        <v>1</v>
      </c>
      <c r="FZ75" s="1392">
        <f t="shared" si="51"/>
        <v>1</v>
      </c>
      <c r="GA75" s="1392">
        <f t="shared" si="52"/>
        <v>1</v>
      </c>
      <c r="GB75" s="1392">
        <f t="shared" si="53"/>
        <v>1</v>
      </c>
      <c r="GC75" s="1392">
        <f t="shared" si="54"/>
        <v>1</v>
      </c>
      <c r="GD75" s="1392">
        <f t="shared" si="55"/>
        <v>1</v>
      </c>
      <c r="GE75" s="1392">
        <f t="shared" si="56"/>
        <v>1</v>
      </c>
      <c r="GF75" s="1392">
        <f t="shared" si="57"/>
        <v>1</v>
      </c>
      <c r="GG75" s="1392">
        <f t="shared" si="58"/>
        <v>1</v>
      </c>
      <c r="GH75" s="1392">
        <f t="shared" si="59"/>
        <v>1</v>
      </c>
      <c r="GI75" s="1392">
        <f t="shared" si="60"/>
        <v>1</v>
      </c>
      <c r="GJ75" s="1392">
        <f t="shared" si="61"/>
        <v>1</v>
      </c>
      <c r="GK75" s="1392">
        <f t="shared" si="62"/>
        <v>1</v>
      </c>
      <c r="GL75" s="1392">
        <f t="shared" si="63"/>
        <v>1</v>
      </c>
      <c r="GM75" s="1392">
        <f t="shared" si="64"/>
        <v>1</v>
      </c>
      <c r="GN75" s="1392">
        <f t="shared" si="65"/>
        <v>1</v>
      </c>
      <c r="GO75" s="1392">
        <f t="shared" si="66"/>
        <v>1</v>
      </c>
      <c r="GP75" s="1392">
        <f t="shared" si="67"/>
        <v>1</v>
      </c>
      <c r="GQ75" s="1392">
        <f t="shared" si="68"/>
        <v>1</v>
      </c>
      <c r="GR75" s="1392">
        <f t="shared" si="69"/>
        <v>1</v>
      </c>
      <c r="GS75" s="1392">
        <f t="shared" si="70"/>
        <v>1</v>
      </c>
      <c r="GT75" s="1392">
        <f t="shared" si="71"/>
        <v>1</v>
      </c>
      <c r="GU75" s="1392">
        <f t="shared" si="72"/>
        <v>1</v>
      </c>
      <c r="GV75" s="1392">
        <f t="shared" si="73"/>
        <v>1</v>
      </c>
      <c r="GW75" s="1392">
        <f t="shared" si="74"/>
        <v>1</v>
      </c>
      <c r="GX75" s="1392">
        <f t="shared" si="75"/>
        <v>1</v>
      </c>
      <c r="GY75" s="1392">
        <f t="shared" si="76"/>
        <v>1</v>
      </c>
      <c r="GZ75" s="1392">
        <f t="shared" si="77"/>
        <v>1</v>
      </c>
      <c r="HA75" s="1392">
        <f t="shared" si="78"/>
        <v>1</v>
      </c>
      <c r="HB75" s="1392">
        <f t="shared" si="79"/>
        <v>1</v>
      </c>
      <c r="HC75" s="1392">
        <f t="shared" si="80"/>
        <v>1</v>
      </c>
      <c r="HD75" s="1392">
        <f t="shared" si="81"/>
        <v>1</v>
      </c>
      <c r="HE75" s="1392">
        <f t="shared" si="82"/>
        <v>1</v>
      </c>
      <c r="HF75" s="1392">
        <f t="shared" si="83"/>
        <v>1</v>
      </c>
      <c r="HG75" s="1392">
        <f t="shared" si="84"/>
        <v>1</v>
      </c>
      <c r="HH75" s="1392">
        <f t="shared" si="85"/>
        <v>1</v>
      </c>
      <c r="HI75" s="1392">
        <f t="shared" si="86"/>
        <v>1</v>
      </c>
      <c r="HJ75" s="1392">
        <f t="shared" si="87"/>
        <v>1</v>
      </c>
      <c r="HK75" s="1392">
        <f t="shared" si="88"/>
        <v>1</v>
      </c>
      <c r="HL75" s="1392">
        <f t="shared" si="89"/>
        <v>1</v>
      </c>
      <c r="HM75" s="1392">
        <f t="shared" si="90"/>
        <v>1</v>
      </c>
      <c r="HN75" s="1392">
        <f t="shared" si="91"/>
        <v>1</v>
      </c>
      <c r="HO75" s="1392">
        <f t="shared" si="92"/>
        <v>1</v>
      </c>
      <c r="HP75" s="1392">
        <f t="shared" si="93"/>
        <v>1</v>
      </c>
      <c r="HQ75" s="1392">
        <f t="shared" si="94"/>
        <v>1</v>
      </c>
      <c r="HR75" s="1392">
        <f t="shared" si="95"/>
        <v>1</v>
      </c>
      <c r="HS75" s="1392">
        <f t="shared" si="96"/>
        <v>1</v>
      </c>
      <c r="HT75" s="1392">
        <f t="shared" si="97"/>
        <v>1</v>
      </c>
      <c r="HU75" s="1392">
        <f t="shared" si="98"/>
        <v>1</v>
      </c>
      <c r="HV75" s="1392">
        <f t="shared" si="99"/>
        <v>1</v>
      </c>
      <c r="HW75" s="1392">
        <f t="shared" si="100"/>
        <v>1</v>
      </c>
      <c r="HX75" s="1392">
        <f t="shared" si="101"/>
        <v>1</v>
      </c>
      <c r="HY75" s="1392">
        <f t="shared" si="102"/>
        <v>1</v>
      </c>
      <c r="HZ75" s="1392">
        <f t="shared" si="103"/>
        <v>1</v>
      </c>
      <c r="IA75" s="1392">
        <f t="shared" si="104"/>
        <v>1</v>
      </c>
      <c r="IB75" s="1392">
        <f t="shared" si="105"/>
        <v>1</v>
      </c>
      <c r="IC75" s="1392">
        <f t="shared" si="106"/>
        <v>1</v>
      </c>
      <c r="ID75" s="1392">
        <f t="shared" si="107"/>
        <v>1</v>
      </c>
      <c r="IE75" s="1392">
        <f t="shared" si="108"/>
        <v>1</v>
      </c>
      <c r="IF75" s="1392">
        <f t="shared" si="109"/>
        <v>1</v>
      </c>
      <c r="IG75" s="1392">
        <f t="shared" si="110"/>
        <v>1</v>
      </c>
      <c r="IH75" s="1392">
        <f t="shared" si="111"/>
        <v>1</v>
      </c>
      <c r="II75" s="1392">
        <f t="shared" si="112"/>
        <v>1</v>
      </c>
      <c r="IJ75" s="1392">
        <f t="shared" si="113"/>
        <v>1</v>
      </c>
      <c r="IK75" s="1392">
        <f t="shared" si="114"/>
        <v>1</v>
      </c>
      <c r="IL75" s="1392">
        <f t="shared" si="115"/>
        <v>1</v>
      </c>
      <c r="IM75" s="1392">
        <f t="shared" si="116"/>
        <v>1</v>
      </c>
      <c r="IN75" s="1392">
        <f t="shared" si="117"/>
        <v>1</v>
      </c>
      <c r="IO75" s="1392">
        <f t="shared" si="118"/>
        <v>1</v>
      </c>
      <c r="IP75" s="1392">
        <f t="shared" si="119"/>
        <v>1</v>
      </c>
      <c r="IQ75" s="1392">
        <f t="shared" si="120"/>
        <v>1</v>
      </c>
      <c r="IR75" s="1392">
        <f t="shared" si="121"/>
        <v>1</v>
      </c>
      <c r="IS75" s="1392">
        <f t="shared" si="122"/>
        <v>1</v>
      </c>
      <c r="IT75" s="1392">
        <f t="shared" si="123"/>
        <v>1</v>
      </c>
      <c r="IU75" s="1392">
        <f t="shared" si="124"/>
        <v>1</v>
      </c>
      <c r="IV75" s="1392">
        <f t="shared" si="125"/>
        <v>1</v>
      </c>
      <c r="IW75" s="1392">
        <f t="shared" si="126"/>
        <v>1</v>
      </c>
      <c r="IX75" s="1392">
        <f t="shared" si="127"/>
        <v>1</v>
      </c>
      <c r="IY75" s="1392">
        <f t="shared" si="128"/>
        <v>1</v>
      </c>
      <c r="IZ75" s="1392">
        <f t="shared" si="129"/>
        <v>1</v>
      </c>
      <c r="JA75" s="1392">
        <f t="shared" si="130"/>
        <v>1</v>
      </c>
      <c r="JB75" s="1392">
        <f t="shared" si="131"/>
        <v>1</v>
      </c>
      <c r="JC75" s="1392">
        <f t="shared" si="132"/>
        <v>1</v>
      </c>
      <c r="JD75" s="1392">
        <f t="shared" si="133"/>
        <v>1</v>
      </c>
      <c r="JE75" s="1392">
        <f t="shared" si="134"/>
        <v>1</v>
      </c>
      <c r="JF75" s="1392">
        <f t="shared" si="135"/>
        <v>1</v>
      </c>
      <c r="JG75" s="1392">
        <f t="shared" si="136"/>
        <v>1</v>
      </c>
      <c r="JH75" s="1392">
        <f t="shared" si="137"/>
        <v>1</v>
      </c>
      <c r="JI75" s="1392">
        <f t="shared" si="138"/>
        <v>1</v>
      </c>
      <c r="JJ75" s="1392">
        <f t="shared" si="139"/>
        <v>1</v>
      </c>
      <c r="JK75" s="1392">
        <f t="shared" si="140"/>
        <v>1</v>
      </c>
      <c r="JL75" s="1392">
        <f t="shared" si="141"/>
        <v>1</v>
      </c>
      <c r="JM75" s="1392">
        <f t="shared" si="142"/>
        <v>1</v>
      </c>
      <c r="JN75" s="1392">
        <f t="shared" si="143"/>
        <v>1</v>
      </c>
      <c r="JO75" s="1392">
        <f t="shared" si="144"/>
        <v>1</v>
      </c>
      <c r="JP75" s="1392">
        <f t="shared" si="145"/>
        <v>1</v>
      </c>
      <c r="JQ75" s="1392">
        <f t="shared" si="146"/>
        <v>1</v>
      </c>
      <c r="JR75" s="1392">
        <f t="shared" si="147"/>
        <v>1</v>
      </c>
      <c r="JS75" s="1392">
        <f t="shared" si="148"/>
        <v>1</v>
      </c>
      <c r="JT75" s="1392">
        <f t="shared" si="149"/>
        <v>1</v>
      </c>
      <c r="JU75" s="1392">
        <f t="shared" si="150"/>
        <v>1</v>
      </c>
      <c r="JV75" s="1392">
        <f t="shared" si="151"/>
        <v>1</v>
      </c>
      <c r="JW75" s="1392">
        <f t="shared" si="152"/>
        <v>1</v>
      </c>
      <c r="JX75" s="1392">
        <f t="shared" si="153"/>
        <v>1</v>
      </c>
      <c r="JY75" s="1392">
        <f t="shared" si="154"/>
        <v>1</v>
      </c>
      <c r="JZ75" s="1392">
        <f t="shared" si="155"/>
        <v>1</v>
      </c>
      <c r="KA75" s="1392">
        <f t="shared" si="156"/>
        <v>1</v>
      </c>
      <c r="KB75" s="1392">
        <f t="shared" si="157"/>
        <v>1</v>
      </c>
      <c r="KC75" s="1392">
        <f t="shared" si="158"/>
        <v>1</v>
      </c>
      <c r="KD75" s="1392">
        <f t="shared" si="159"/>
        <v>1</v>
      </c>
      <c r="KE75" s="1392">
        <f t="shared" si="160"/>
        <v>1</v>
      </c>
      <c r="KF75" s="1392">
        <f t="shared" si="161"/>
        <v>1</v>
      </c>
      <c r="KG75" s="1399">
        <f t="shared" si="162"/>
        <v>1</v>
      </c>
      <c r="KH75" s="1406">
        <f t="shared" si="163"/>
        <v>144</v>
      </c>
      <c r="KI75" s="377"/>
      <c r="KJ75" s="1444">
        <f t="shared" si="164"/>
        <v>19.879253198304003</v>
      </c>
      <c r="KK75" s="49">
        <f t="shared" si="165"/>
        <v>0</v>
      </c>
      <c r="KL75" s="377"/>
      <c r="KM75" s="908">
        <f t="shared" si="166"/>
        <v>6.9444444444444441E-3</v>
      </c>
      <c r="KN75" s="1411">
        <f t="shared" si="167"/>
        <v>6.9444444444444441E-3</v>
      </c>
      <c r="KO75" s="1411">
        <f t="shared" si="168"/>
        <v>6.9444444444444441E-3</v>
      </c>
      <c r="KP75" s="1411">
        <f t="shared" si="169"/>
        <v>6.9444444444444441E-3</v>
      </c>
      <c r="KQ75" s="1411">
        <f t="shared" si="170"/>
        <v>6.9444444444444441E-3</v>
      </c>
      <c r="KR75" s="1411">
        <f t="shared" si="171"/>
        <v>6.9444444444444441E-3</v>
      </c>
      <c r="KS75" s="1411">
        <f t="shared" si="172"/>
        <v>6.9444444444444441E-3</v>
      </c>
      <c r="KT75" s="1411">
        <f t="shared" si="173"/>
        <v>6.9444444444444441E-3</v>
      </c>
      <c r="KU75" s="1411">
        <f t="shared" si="174"/>
        <v>6.9444444444444441E-3</v>
      </c>
      <c r="KV75" s="1411">
        <f t="shared" si="175"/>
        <v>6.9444444444444441E-3</v>
      </c>
      <c r="KW75" s="1411">
        <f t="shared" si="176"/>
        <v>6.9444444444444441E-3</v>
      </c>
      <c r="KX75" s="1411">
        <f t="shared" si="177"/>
        <v>6.9444444444444441E-3</v>
      </c>
      <c r="KY75" s="1411">
        <f t="shared" si="178"/>
        <v>6.9444444444444441E-3</v>
      </c>
      <c r="KZ75" s="1411">
        <f t="shared" si="179"/>
        <v>6.9444444444444441E-3</v>
      </c>
      <c r="LA75" s="1411">
        <f t="shared" si="180"/>
        <v>6.9444444444444441E-3</v>
      </c>
      <c r="LB75" s="1411">
        <f t="shared" si="181"/>
        <v>6.9444444444444441E-3</v>
      </c>
      <c r="LC75" s="1411">
        <f t="shared" si="182"/>
        <v>6.9444444444444441E-3</v>
      </c>
      <c r="LD75" s="1411">
        <f t="shared" si="183"/>
        <v>6.9444444444444441E-3</v>
      </c>
      <c r="LE75" s="1411">
        <f t="shared" si="184"/>
        <v>6.9444444444444441E-3</v>
      </c>
      <c r="LF75" s="1411">
        <f t="shared" si="185"/>
        <v>6.9444444444444441E-3</v>
      </c>
      <c r="LG75" s="1411">
        <f t="shared" si="186"/>
        <v>6.9444444444444441E-3</v>
      </c>
      <c r="LH75" s="1411">
        <f t="shared" si="187"/>
        <v>6.9444444444444441E-3</v>
      </c>
      <c r="LI75" s="1411">
        <f t="shared" si="188"/>
        <v>6.9444444444444441E-3</v>
      </c>
      <c r="LJ75" s="1411">
        <f t="shared" si="189"/>
        <v>6.9444444444444441E-3</v>
      </c>
      <c r="LK75" s="1411">
        <f t="shared" si="190"/>
        <v>6.9444444444444441E-3</v>
      </c>
      <c r="LL75" s="1411">
        <f t="shared" si="191"/>
        <v>6.9444444444444441E-3</v>
      </c>
      <c r="LM75" s="1411">
        <f t="shared" si="192"/>
        <v>6.9444444444444441E-3</v>
      </c>
      <c r="LN75" s="1411">
        <f t="shared" si="193"/>
        <v>6.9444444444444441E-3</v>
      </c>
      <c r="LO75" s="1411">
        <f t="shared" si="194"/>
        <v>6.9444444444444441E-3</v>
      </c>
      <c r="LP75" s="1411">
        <f t="shared" si="195"/>
        <v>6.9444444444444441E-3</v>
      </c>
      <c r="LQ75" s="1411">
        <f t="shared" si="196"/>
        <v>6.9444444444444441E-3</v>
      </c>
      <c r="LR75" s="1411">
        <f t="shared" si="197"/>
        <v>6.9444444444444441E-3</v>
      </c>
      <c r="LS75" s="1411">
        <f t="shared" si="198"/>
        <v>6.9444444444444441E-3</v>
      </c>
      <c r="LT75" s="1411">
        <f t="shared" si="199"/>
        <v>6.9444444444444441E-3</v>
      </c>
      <c r="LU75" s="1411">
        <f t="shared" si="200"/>
        <v>6.9444444444444441E-3</v>
      </c>
      <c r="LV75" s="1411">
        <f t="shared" si="201"/>
        <v>6.9444444444444441E-3</v>
      </c>
      <c r="LW75" s="1411">
        <f t="shared" si="202"/>
        <v>6.9444444444444441E-3</v>
      </c>
      <c r="LX75" s="1411">
        <f t="shared" si="203"/>
        <v>6.9444444444444441E-3</v>
      </c>
      <c r="LY75" s="1411">
        <f t="shared" si="204"/>
        <v>6.9444444444444441E-3</v>
      </c>
      <c r="LZ75" s="1411">
        <f t="shared" si="205"/>
        <v>6.9444444444444441E-3</v>
      </c>
      <c r="MA75" s="1411">
        <f t="shared" si="206"/>
        <v>6.9444444444444441E-3</v>
      </c>
      <c r="MB75" s="1411">
        <f t="shared" si="207"/>
        <v>6.9444444444444441E-3</v>
      </c>
      <c r="MC75" s="1411">
        <f t="shared" si="208"/>
        <v>6.9444444444444441E-3</v>
      </c>
      <c r="MD75" s="1411">
        <f t="shared" si="209"/>
        <v>6.9444444444444441E-3</v>
      </c>
      <c r="ME75" s="1411">
        <f t="shared" si="210"/>
        <v>6.9444444444444441E-3</v>
      </c>
      <c r="MF75" s="1411">
        <f t="shared" si="211"/>
        <v>6.9444444444444441E-3</v>
      </c>
      <c r="MG75" s="1411">
        <f t="shared" si="212"/>
        <v>6.9444444444444441E-3</v>
      </c>
      <c r="MH75" s="1411">
        <f t="shared" si="213"/>
        <v>6.9444444444444441E-3</v>
      </c>
      <c r="MI75" s="1411">
        <f t="shared" si="214"/>
        <v>6.9444444444444441E-3</v>
      </c>
      <c r="MJ75" s="1411">
        <f t="shared" si="215"/>
        <v>6.9444444444444441E-3</v>
      </c>
      <c r="MK75" s="1411">
        <f t="shared" si="216"/>
        <v>6.9444444444444441E-3</v>
      </c>
      <c r="ML75" s="1411">
        <f t="shared" si="217"/>
        <v>6.9444444444444441E-3</v>
      </c>
      <c r="MM75" s="1411">
        <f t="shared" si="218"/>
        <v>6.9444444444444441E-3</v>
      </c>
      <c r="MN75" s="1411">
        <f t="shared" si="219"/>
        <v>6.9444444444444441E-3</v>
      </c>
      <c r="MO75" s="1411">
        <f t="shared" si="220"/>
        <v>6.9444444444444441E-3</v>
      </c>
      <c r="MP75" s="1411">
        <f t="shared" si="221"/>
        <v>6.9444444444444441E-3</v>
      </c>
      <c r="MQ75" s="1411">
        <f t="shared" si="222"/>
        <v>6.9444444444444441E-3</v>
      </c>
      <c r="MR75" s="1411">
        <f t="shared" si="223"/>
        <v>6.9444444444444441E-3</v>
      </c>
      <c r="MS75" s="1411">
        <f t="shared" si="224"/>
        <v>6.9444444444444441E-3</v>
      </c>
      <c r="MT75" s="1411">
        <f t="shared" si="225"/>
        <v>6.9444444444444441E-3</v>
      </c>
      <c r="MU75" s="1411">
        <f t="shared" si="226"/>
        <v>6.9444444444444441E-3</v>
      </c>
      <c r="MV75" s="1411">
        <f t="shared" si="227"/>
        <v>6.9444444444444441E-3</v>
      </c>
      <c r="MW75" s="1411">
        <f t="shared" si="228"/>
        <v>6.9444444444444441E-3</v>
      </c>
      <c r="MX75" s="1411">
        <f t="shared" si="229"/>
        <v>6.9444444444444441E-3</v>
      </c>
      <c r="MY75" s="1411">
        <f t="shared" si="230"/>
        <v>6.9444444444444441E-3</v>
      </c>
      <c r="MZ75" s="1411">
        <f t="shared" si="231"/>
        <v>6.9444444444444441E-3</v>
      </c>
      <c r="NA75" s="1411">
        <f t="shared" si="232"/>
        <v>6.9444444444444441E-3</v>
      </c>
      <c r="NB75" s="1411">
        <f t="shared" si="233"/>
        <v>6.9444444444444441E-3</v>
      </c>
      <c r="NC75" s="1411">
        <f t="shared" si="234"/>
        <v>6.9444444444444441E-3</v>
      </c>
      <c r="ND75" s="1411">
        <f t="shared" si="235"/>
        <v>6.9444444444444441E-3</v>
      </c>
      <c r="NE75" s="1411">
        <f t="shared" si="236"/>
        <v>6.9444444444444441E-3</v>
      </c>
      <c r="NF75" s="1411">
        <f t="shared" si="237"/>
        <v>6.9444444444444441E-3</v>
      </c>
      <c r="NG75" s="1411">
        <f t="shared" si="238"/>
        <v>6.9444444444444441E-3</v>
      </c>
      <c r="NH75" s="1411">
        <f t="shared" si="239"/>
        <v>6.9444444444444441E-3</v>
      </c>
      <c r="NI75" s="1411">
        <f t="shared" si="240"/>
        <v>6.9444444444444441E-3</v>
      </c>
      <c r="NJ75" s="1411">
        <f t="shared" si="241"/>
        <v>6.9444444444444441E-3</v>
      </c>
      <c r="NK75" s="1411">
        <f t="shared" si="242"/>
        <v>6.9444444444444441E-3</v>
      </c>
      <c r="NL75" s="1411">
        <f t="shared" si="243"/>
        <v>6.9444444444444441E-3</v>
      </c>
      <c r="NM75" s="1411">
        <f t="shared" si="244"/>
        <v>6.9444444444444441E-3</v>
      </c>
      <c r="NN75" s="1411">
        <f t="shared" si="245"/>
        <v>6.9444444444444441E-3</v>
      </c>
      <c r="NO75" s="1411">
        <f t="shared" si="246"/>
        <v>6.9444444444444441E-3</v>
      </c>
      <c r="NP75" s="1411">
        <f t="shared" si="247"/>
        <v>6.9444444444444441E-3</v>
      </c>
      <c r="NQ75" s="1411">
        <f t="shared" si="248"/>
        <v>6.9444444444444441E-3</v>
      </c>
      <c r="NR75" s="1411">
        <f t="shared" si="249"/>
        <v>6.9444444444444441E-3</v>
      </c>
      <c r="NS75" s="1411">
        <f t="shared" si="250"/>
        <v>6.9444444444444441E-3</v>
      </c>
      <c r="NT75" s="1411">
        <f t="shared" si="251"/>
        <v>6.9444444444444441E-3</v>
      </c>
      <c r="NU75" s="1411">
        <f t="shared" si="252"/>
        <v>6.9444444444444441E-3</v>
      </c>
      <c r="NV75" s="1411">
        <f t="shared" si="253"/>
        <v>6.9444444444444441E-3</v>
      </c>
      <c r="NW75" s="1411">
        <f t="shared" si="254"/>
        <v>6.9444444444444441E-3</v>
      </c>
      <c r="NX75" s="1411">
        <f t="shared" si="255"/>
        <v>6.9444444444444441E-3</v>
      </c>
      <c r="NY75" s="1411">
        <f t="shared" si="256"/>
        <v>6.9444444444444441E-3</v>
      </c>
      <c r="NZ75" s="1411">
        <f t="shared" si="257"/>
        <v>6.9444444444444441E-3</v>
      </c>
      <c r="OA75" s="1411">
        <f t="shared" si="258"/>
        <v>6.9444444444444441E-3</v>
      </c>
      <c r="OB75" s="1411">
        <f t="shared" si="259"/>
        <v>6.9444444444444441E-3</v>
      </c>
      <c r="OC75" s="1411">
        <f t="shared" si="260"/>
        <v>6.9444444444444441E-3</v>
      </c>
      <c r="OD75" s="1411">
        <f t="shared" si="261"/>
        <v>6.9444444444444441E-3</v>
      </c>
      <c r="OE75" s="1411">
        <f t="shared" si="262"/>
        <v>6.9444444444444441E-3</v>
      </c>
      <c r="OF75" s="1411">
        <f t="shared" si="263"/>
        <v>6.9444444444444441E-3</v>
      </c>
      <c r="OG75" s="1411">
        <f t="shared" si="264"/>
        <v>6.9444444444444441E-3</v>
      </c>
      <c r="OH75" s="1411">
        <f t="shared" si="265"/>
        <v>6.9444444444444441E-3</v>
      </c>
      <c r="OI75" s="1411">
        <f t="shared" si="266"/>
        <v>6.9444444444444441E-3</v>
      </c>
      <c r="OJ75" s="1411">
        <f t="shared" si="267"/>
        <v>6.9444444444444441E-3</v>
      </c>
      <c r="OK75" s="1411">
        <f t="shared" si="268"/>
        <v>6.9444444444444441E-3</v>
      </c>
      <c r="OL75" s="1411">
        <f t="shared" si="269"/>
        <v>6.9444444444444441E-3</v>
      </c>
      <c r="OM75" s="1411">
        <f t="shared" si="270"/>
        <v>6.9444444444444441E-3</v>
      </c>
      <c r="ON75" s="1411">
        <f t="shared" si="271"/>
        <v>6.9444444444444441E-3</v>
      </c>
      <c r="OO75" s="1411">
        <f t="shared" si="272"/>
        <v>6.9444444444444441E-3</v>
      </c>
      <c r="OP75" s="1411">
        <f t="shared" si="273"/>
        <v>6.9444444444444441E-3</v>
      </c>
      <c r="OQ75" s="1411">
        <f t="shared" si="274"/>
        <v>6.9444444444444441E-3</v>
      </c>
      <c r="OR75" s="1411">
        <f t="shared" si="275"/>
        <v>6.9444444444444441E-3</v>
      </c>
      <c r="OS75" s="1411">
        <f t="shared" si="276"/>
        <v>6.9444444444444441E-3</v>
      </c>
      <c r="OT75" s="1411">
        <f t="shared" si="277"/>
        <v>6.9444444444444441E-3</v>
      </c>
      <c r="OU75" s="1411">
        <f t="shared" si="278"/>
        <v>6.9444444444444441E-3</v>
      </c>
      <c r="OV75" s="1411">
        <f t="shared" si="279"/>
        <v>6.9444444444444441E-3</v>
      </c>
      <c r="OW75" s="1411">
        <f t="shared" si="280"/>
        <v>6.9444444444444441E-3</v>
      </c>
      <c r="OX75" s="1411">
        <f t="shared" si="281"/>
        <v>6.9444444444444441E-3</v>
      </c>
      <c r="OY75" s="1411">
        <f t="shared" si="282"/>
        <v>6.9444444444444441E-3</v>
      </c>
      <c r="OZ75" s="1411">
        <f t="shared" si="283"/>
        <v>6.9444444444444441E-3</v>
      </c>
      <c r="PA75" s="1411">
        <f t="shared" si="284"/>
        <v>6.9444444444444441E-3</v>
      </c>
      <c r="PB75" s="1411">
        <f t="shared" si="285"/>
        <v>6.9444444444444441E-3</v>
      </c>
      <c r="PC75" s="1411">
        <f t="shared" si="286"/>
        <v>6.9444444444444441E-3</v>
      </c>
      <c r="PD75" s="1411">
        <f t="shared" si="287"/>
        <v>6.9444444444444441E-3</v>
      </c>
      <c r="PE75" s="1411">
        <f t="shared" si="288"/>
        <v>6.9444444444444441E-3</v>
      </c>
      <c r="PF75" s="1411">
        <f t="shared" si="289"/>
        <v>6.9444444444444441E-3</v>
      </c>
      <c r="PG75" s="1411">
        <f t="shared" si="290"/>
        <v>6.9444444444444441E-3</v>
      </c>
      <c r="PH75" s="1411">
        <f t="shared" si="291"/>
        <v>6.9444444444444441E-3</v>
      </c>
      <c r="PI75" s="1411">
        <f t="shared" si="292"/>
        <v>6.9444444444444441E-3</v>
      </c>
      <c r="PJ75" s="1411">
        <f t="shared" si="293"/>
        <v>6.9444444444444441E-3</v>
      </c>
      <c r="PK75" s="1411">
        <f t="shared" si="294"/>
        <v>6.9444444444444441E-3</v>
      </c>
      <c r="PL75" s="1411">
        <f t="shared" si="295"/>
        <v>6.9444444444444441E-3</v>
      </c>
      <c r="PM75" s="1411">
        <f t="shared" si="296"/>
        <v>6.9444444444444441E-3</v>
      </c>
      <c r="PN75" s="1411">
        <f t="shared" si="297"/>
        <v>6.9444444444444441E-3</v>
      </c>
      <c r="PO75" s="1411">
        <f t="shared" si="298"/>
        <v>6.9444444444444441E-3</v>
      </c>
      <c r="PP75" s="1411">
        <f t="shared" si="299"/>
        <v>6.9444444444444441E-3</v>
      </c>
      <c r="PQ75" s="1411">
        <f t="shared" si="300"/>
        <v>6.9444444444444441E-3</v>
      </c>
      <c r="PR75" s="1411">
        <f t="shared" si="301"/>
        <v>6.9444444444444441E-3</v>
      </c>
      <c r="PS75" s="1411">
        <f t="shared" si="302"/>
        <v>6.9444444444444441E-3</v>
      </c>
      <c r="PT75" s="1411">
        <f t="shared" si="303"/>
        <v>6.9444444444444441E-3</v>
      </c>
      <c r="PU75" s="1411">
        <f t="shared" si="304"/>
        <v>6.9444444444444441E-3</v>
      </c>
      <c r="PV75" s="1411">
        <f t="shared" si="305"/>
        <v>6.9444444444444441E-3</v>
      </c>
      <c r="PW75" s="1411">
        <f t="shared" si="306"/>
        <v>6.9444444444444441E-3</v>
      </c>
      <c r="PX75" s="1411">
        <f t="shared" si="307"/>
        <v>6.9444444444444441E-3</v>
      </c>
      <c r="PY75" s="1411">
        <f t="shared" si="308"/>
        <v>6.9444444444444441E-3</v>
      </c>
      <c r="PZ75" s="1412">
        <f t="shared" si="309"/>
        <v>6.9444444444444441E-3</v>
      </c>
      <c r="QB75" s="33" t="s">
        <v>1072</v>
      </c>
      <c r="QC75" s="1432">
        <f t="shared" si="336"/>
        <v>0.33333333333333309</v>
      </c>
      <c r="QD75" s="744">
        <f t="shared" si="337"/>
        <v>0.33333333333333309</v>
      </c>
      <c r="QE75" s="1068">
        <f t="shared" si="338"/>
        <v>0.33333333333333309</v>
      </c>
      <c r="QF75" s="744">
        <f t="shared" si="339"/>
        <v>0.33333333333333309</v>
      </c>
      <c r="QG75" s="744">
        <f t="shared" si="340"/>
        <v>0.33333333333333309</v>
      </c>
      <c r="QH75" s="1068">
        <f t="shared" si="341"/>
        <v>0.33333333333333309</v>
      </c>
      <c r="QI75" s="744">
        <f t="shared" si="342"/>
        <v>0.49999999999999917</v>
      </c>
      <c r="QJ75" s="1068">
        <f t="shared" si="343"/>
        <v>0.49999999999999917</v>
      </c>
      <c r="QK75" s="744">
        <f t="shared" si="344"/>
        <v>0.49999999999999917</v>
      </c>
      <c r="QL75" s="1068">
        <f t="shared" si="345"/>
        <v>0.49999999999999917</v>
      </c>
      <c r="QM75" s="744">
        <f t="shared" si="346"/>
        <v>0.49999999999999917</v>
      </c>
      <c r="QN75" s="1068">
        <f t="shared" si="347"/>
        <v>0.49999999999999917</v>
      </c>
      <c r="QO75" s="744">
        <f t="shared" si="348"/>
        <v>0.49999999999999917</v>
      </c>
      <c r="QP75" s="1068">
        <f t="shared" si="349"/>
        <v>0.49999999999999917</v>
      </c>
      <c r="QR75" s="1432">
        <f t="shared" si="467"/>
        <v>0.11111111111111115</v>
      </c>
      <c r="QS75" s="744">
        <f t="shared" si="468"/>
        <v>0.11111111111111115</v>
      </c>
      <c r="QT75" s="744">
        <f t="shared" si="469"/>
        <v>0.11111111111111115</v>
      </c>
      <c r="QU75" s="743">
        <f t="shared" si="470"/>
        <v>0.11111111111111115</v>
      </c>
      <c r="QV75" s="744">
        <f t="shared" si="471"/>
        <v>0.11111111111111115</v>
      </c>
      <c r="QW75" s="744">
        <f t="shared" si="472"/>
        <v>0.11111111111111115</v>
      </c>
      <c r="QX75" s="743">
        <f t="shared" si="473"/>
        <v>0.11111111111111115</v>
      </c>
      <c r="QY75" s="744">
        <f t="shared" si="474"/>
        <v>0.11111111111111115</v>
      </c>
      <c r="QZ75" s="745">
        <f t="shared" si="475"/>
        <v>0.11111111111111115</v>
      </c>
      <c r="RC75" s="744">
        <f t="shared" si="359"/>
        <v>5.5555555555555566E-2</v>
      </c>
      <c r="RD75" s="744">
        <f t="shared" si="360"/>
        <v>5.5555555555555566E-2</v>
      </c>
      <c r="RE75" s="744">
        <f t="shared" si="361"/>
        <v>5.5555555555555566E-2</v>
      </c>
      <c r="RF75" s="744">
        <f t="shared" si="362"/>
        <v>5.5555555555555566E-2</v>
      </c>
      <c r="RG75" s="744">
        <f t="shared" si="363"/>
        <v>5.5555555555555566E-2</v>
      </c>
      <c r="RH75" s="744">
        <f t="shared" si="364"/>
        <v>5.5555555555555566E-2</v>
      </c>
      <c r="RI75" s="744">
        <f t="shared" si="365"/>
        <v>5.5555555555555566E-2</v>
      </c>
      <c r="RJ75" s="744">
        <f t="shared" si="366"/>
        <v>5.5555555555555566E-2</v>
      </c>
      <c r="RK75" s="744">
        <f t="shared" si="367"/>
        <v>5.5555555555555566E-2</v>
      </c>
      <c r="RL75" s="1251"/>
      <c r="RM75" s="744">
        <f t="shared" si="368"/>
        <v>5.5555555555555566E-2</v>
      </c>
      <c r="RN75" s="744">
        <f t="shared" si="369"/>
        <v>5.5555555555555566E-2</v>
      </c>
      <c r="RO75" s="744">
        <f t="shared" si="370"/>
        <v>5.5555555555555566E-2</v>
      </c>
      <c r="RP75" s="744">
        <f t="shared" si="371"/>
        <v>5.5555555555555566E-2</v>
      </c>
      <c r="RQ75" s="744">
        <f t="shared" si="372"/>
        <v>5.5555555555555566E-2</v>
      </c>
      <c r="RR75" s="744">
        <f t="shared" si="373"/>
        <v>5.5555555555555566E-2</v>
      </c>
      <c r="RS75" s="744">
        <f t="shared" si="374"/>
        <v>5.5555555555555566E-2</v>
      </c>
      <c r="RT75" s="744">
        <f t="shared" si="375"/>
        <v>5.5555555555555566E-2</v>
      </c>
      <c r="RU75" s="744">
        <f t="shared" si="376"/>
        <v>5.5555555555555566E-2</v>
      </c>
      <c r="RV75" s="744"/>
      <c r="RW75" s="744">
        <f t="shared" si="377"/>
        <v>5.5555555555555566E-2</v>
      </c>
      <c r="RX75" s="744">
        <f t="shared" si="378"/>
        <v>5.5555555555555566E-2</v>
      </c>
      <c r="RY75" s="744">
        <f t="shared" si="379"/>
        <v>5.5555555555555566E-2</v>
      </c>
      <c r="RZ75" s="744">
        <f t="shared" si="380"/>
        <v>5.5555555555555566E-2</v>
      </c>
      <c r="SA75" s="744">
        <f t="shared" si="381"/>
        <v>5.5555555555555566E-2</v>
      </c>
      <c r="SB75" s="744">
        <f t="shared" si="382"/>
        <v>5.5555555555555566E-2</v>
      </c>
      <c r="SC75" s="744">
        <f t="shared" si="383"/>
        <v>5.5555555555555566E-2</v>
      </c>
      <c r="SD75" s="744">
        <f t="shared" si="384"/>
        <v>5.5555555555555566E-2</v>
      </c>
      <c r="SE75" s="744">
        <f t="shared" si="385"/>
        <v>5.5555555555555566E-2</v>
      </c>
      <c r="SF75" s="744"/>
      <c r="SG75" s="744">
        <f t="shared" si="386"/>
        <v>5.5555555555555566E-2</v>
      </c>
      <c r="SH75" s="744">
        <f t="shared" si="387"/>
        <v>5.5555555555555566E-2</v>
      </c>
      <c r="SI75" s="744">
        <f t="shared" si="388"/>
        <v>5.5555555555555566E-2</v>
      </c>
      <c r="SJ75" s="744">
        <f t="shared" si="389"/>
        <v>5.5555555555555566E-2</v>
      </c>
      <c r="SK75" s="744">
        <f t="shared" si="390"/>
        <v>5.5555555555555566E-2</v>
      </c>
      <c r="SL75" s="744">
        <f t="shared" si="391"/>
        <v>5.5555555555555566E-2</v>
      </c>
      <c r="SM75" s="744">
        <f t="shared" si="392"/>
        <v>5.5555555555555566E-2</v>
      </c>
      <c r="SN75" s="744">
        <f t="shared" si="393"/>
        <v>5.5555555555555566E-2</v>
      </c>
      <c r="SO75" s="744">
        <f t="shared" si="394"/>
        <v>5.5555555555555566E-2</v>
      </c>
      <c r="SP75" s="100"/>
      <c r="SQ75" s="114"/>
      <c r="SR75" s="806">
        <f t="shared" si="431"/>
        <v>0.49999999999999994</v>
      </c>
      <c r="SS75" s="806">
        <f t="shared" si="432"/>
        <v>0.49999999999999994</v>
      </c>
      <c r="ST75" s="806">
        <f t="shared" si="433"/>
        <v>0.49999999999999994</v>
      </c>
      <c r="SU75" s="806">
        <f t="shared" si="434"/>
        <v>0.49999999999999994</v>
      </c>
      <c r="SV75" s="806">
        <f t="shared" si="435"/>
        <v>0.49999999999999994</v>
      </c>
      <c r="SW75" s="806">
        <f t="shared" si="436"/>
        <v>0.49999999999999994</v>
      </c>
      <c r="SX75" s="806">
        <f t="shared" si="437"/>
        <v>0.49999999999999994</v>
      </c>
      <c r="SY75" s="806">
        <f t="shared" si="438"/>
        <v>0.49999999999999994</v>
      </c>
      <c r="SZ75" s="806">
        <f t="shared" si="439"/>
        <v>0.49999999999999994</v>
      </c>
      <c r="TA75" s="806"/>
      <c r="TB75" s="806">
        <f t="shared" si="440"/>
        <v>0.49999999999999994</v>
      </c>
      <c r="TC75" s="806">
        <f t="shared" si="441"/>
        <v>0.49999999999999994</v>
      </c>
      <c r="TD75" s="806">
        <f t="shared" si="442"/>
        <v>0.49999999999999994</v>
      </c>
      <c r="TE75" s="806">
        <f t="shared" si="443"/>
        <v>0.49999999999999994</v>
      </c>
      <c r="TF75" s="806">
        <f t="shared" si="444"/>
        <v>0.49999999999999994</v>
      </c>
      <c r="TG75" s="806">
        <f t="shared" si="445"/>
        <v>0.49999999999999994</v>
      </c>
      <c r="TH75" s="806">
        <f t="shared" si="446"/>
        <v>0.49999999999999994</v>
      </c>
      <c r="TI75" s="806">
        <f t="shared" si="447"/>
        <v>0.49999999999999994</v>
      </c>
      <c r="TJ75" s="806">
        <f t="shared" si="448"/>
        <v>0.49999999999999994</v>
      </c>
      <c r="TK75" s="806"/>
      <c r="TL75" s="806">
        <f t="shared" si="449"/>
        <v>0.49999999999999994</v>
      </c>
      <c r="TM75" s="806">
        <f t="shared" si="450"/>
        <v>0.49999999999999994</v>
      </c>
      <c r="TN75" s="806">
        <f t="shared" si="451"/>
        <v>0.49999999999999994</v>
      </c>
      <c r="TO75" s="806">
        <f t="shared" si="452"/>
        <v>0.49999999999999994</v>
      </c>
      <c r="TP75" s="806">
        <f t="shared" si="453"/>
        <v>0.49999999999999994</v>
      </c>
      <c r="TQ75" s="806">
        <f t="shared" si="454"/>
        <v>0.49999999999999994</v>
      </c>
      <c r="TR75" s="806">
        <f t="shared" si="455"/>
        <v>0.49999999999999994</v>
      </c>
      <c r="TS75" s="806">
        <f t="shared" si="456"/>
        <v>0.49999999999999994</v>
      </c>
      <c r="TT75" s="806">
        <f t="shared" si="457"/>
        <v>0.49999999999999994</v>
      </c>
      <c r="TU75" s="806"/>
      <c r="TV75" s="806">
        <f t="shared" si="458"/>
        <v>0.49999999999999994</v>
      </c>
      <c r="TW75" s="806">
        <f t="shared" si="459"/>
        <v>0.49999999999999994</v>
      </c>
      <c r="TX75" s="806">
        <f t="shared" si="460"/>
        <v>0.49999999999999994</v>
      </c>
      <c r="TY75" s="806">
        <f t="shared" si="461"/>
        <v>0.49999999999999994</v>
      </c>
      <c r="TZ75" s="806">
        <f t="shared" si="462"/>
        <v>0.49999999999999994</v>
      </c>
      <c r="UA75" s="806">
        <f t="shared" si="463"/>
        <v>0.49999999999999994</v>
      </c>
      <c r="UB75" s="806">
        <f t="shared" si="464"/>
        <v>0.49999999999999994</v>
      </c>
      <c r="UC75" s="806">
        <f t="shared" si="465"/>
        <v>0.49999999999999994</v>
      </c>
      <c r="UD75" s="1439">
        <f t="shared" si="466"/>
        <v>0.49999999999999994</v>
      </c>
    </row>
    <row r="76" spans="3:550" s="7" customFormat="1" ht="15.75" thickBot="1" x14ac:dyDescent="0.3">
      <c r="C76" s="21"/>
      <c r="D76" s="1308">
        <v>44051</v>
      </c>
      <c r="E76" s="225">
        <v>0</v>
      </c>
      <c r="F76" s="1394">
        <v>0</v>
      </c>
      <c r="G76" s="1394">
        <v>0</v>
      </c>
      <c r="H76" s="1394">
        <v>0</v>
      </c>
      <c r="I76" s="1394">
        <v>0</v>
      </c>
      <c r="J76" s="1394">
        <v>0</v>
      </c>
      <c r="K76" s="1394">
        <v>0</v>
      </c>
      <c r="L76" s="1394">
        <v>0</v>
      </c>
      <c r="M76" s="1394">
        <v>0</v>
      </c>
      <c r="N76" s="1394">
        <v>0</v>
      </c>
      <c r="O76" s="1394">
        <v>0</v>
      </c>
      <c r="P76" s="1394">
        <v>0</v>
      </c>
      <c r="Q76" s="1394">
        <v>0</v>
      </c>
      <c r="R76" s="1394">
        <v>0</v>
      </c>
      <c r="S76" s="1394">
        <v>0</v>
      </c>
      <c r="T76" s="1394">
        <v>0</v>
      </c>
      <c r="U76" s="1394">
        <v>0</v>
      </c>
      <c r="V76" s="1394">
        <v>0</v>
      </c>
      <c r="W76" s="1394">
        <v>0</v>
      </c>
      <c r="X76" s="1394">
        <v>0</v>
      </c>
      <c r="Y76" s="1394">
        <v>0</v>
      </c>
      <c r="Z76" s="1394">
        <v>0</v>
      </c>
      <c r="AA76" s="1394">
        <v>0</v>
      </c>
      <c r="AB76" s="1394">
        <v>0</v>
      </c>
      <c r="AC76" s="1394">
        <v>0</v>
      </c>
      <c r="AD76" s="1394">
        <v>0</v>
      </c>
      <c r="AE76" s="1394">
        <v>0</v>
      </c>
      <c r="AF76" s="1394">
        <v>0</v>
      </c>
      <c r="AG76" s="1394">
        <v>0</v>
      </c>
      <c r="AH76" s="1394">
        <v>0</v>
      </c>
      <c r="AI76" s="1394">
        <v>0</v>
      </c>
      <c r="AJ76" s="1394">
        <v>0</v>
      </c>
      <c r="AK76" s="1394">
        <v>0</v>
      </c>
      <c r="AL76" s="1394">
        <v>0</v>
      </c>
      <c r="AM76" s="1394">
        <v>0</v>
      </c>
      <c r="AN76" s="1394">
        <v>0</v>
      </c>
      <c r="AO76" s="1394">
        <v>0</v>
      </c>
      <c r="AP76" s="1394">
        <v>0</v>
      </c>
      <c r="AQ76" s="1394">
        <v>0</v>
      </c>
      <c r="AR76" s="1394">
        <v>0</v>
      </c>
      <c r="AS76" s="1394">
        <v>0</v>
      </c>
      <c r="AT76" s="1394">
        <v>0</v>
      </c>
      <c r="AU76" s="1394">
        <v>0</v>
      </c>
      <c r="AV76" s="1394">
        <v>0</v>
      </c>
      <c r="AW76" s="1394">
        <v>0</v>
      </c>
      <c r="AX76" s="1394">
        <v>0</v>
      </c>
      <c r="AY76" s="1394">
        <v>0</v>
      </c>
      <c r="AZ76" s="1394">
        <v>0</v>
      </c>
      <c r="BA76" s="1394">
        <v>0</v>
      </c>
      <c r="BB76" s="1394">
        <v>0</v>
      </c>
      <c r="BC76" s="1394">
        <v>0</v>
      </c>
      <c r="BD76" s="1394">
        <v>0</v>
      </c>
      <c r="BE76" s="1394">
        <v>0</v>
      </c>
      <c r="BF76" s="1394">
        <v>0</v>
      </c>
      <c r="BG76" s="1394">
        <v>0</v>
      </c>
      <c r="BH76" s="1394">
        <v>0</v>
      </c>
      <c r="BI76" s="1394">
        <v>0</v>
      </c>
      <c r="BJ76" s="1394">
        <v>0</v>
      </c>
      <c r="BK76" s="1394">
        <v>0</v>
      </c>
      <c r="BL76" s="1394">
        <v>0</v>
      </c>
      <c r="BM76" s="1394">
        <v>0</v>
      </c>
      <c r="BN76" s="1394">
        <v>0</v>
      </c>
      <c r="BO76" s="1394">
        <v>0</v>
      </c>
      <c r="BP76" s="1394">
        <v>0</v>
      </c>
      <c r="BQ76" s="1394">
        <v>0</v>
      </c>
      <c r="BR76" s="1394">
        <v>0</v>
      </c>
      <c r="BS76" s="1394">
        <v>0</v>
      </c>
      <c r="BT76" s="1394">
        <v>0</v>
      </c>
      <c r="BU76" s="1394">
        <v>0</v>
      </c>
      <c r="BV76" s="1394">
        <v>0</v>
      </c>
      <c r="BW76" s="1394">
        <v>0</v>
      </c>
      <c r="BX76" s="1394">
        <v>0</v>
      </c>
      <c r="BY76" s="1394">
        <v>0</v>
      </c>
      <c r="BZ76" s="1394">
        <v>0</v>
      </c>
      <c r="CA76" s="1394">
        <v>0</v>
      </c>
      <c r="CB76" s="1394">
        <v>0</v>
      </c>
      <c r="CC76" s="1394">
        <v>0</v>
      </c>
      <c r="CD76" s="1394">
        <v>0</v>
      </c>
      <c r="CE76" s="1394">
        <v>0</v>
      </c>
      <c r="CF76" s="1394">
        <v>0</v>
      </c>
      <c r="CG76" s="1394">
        <v>0</v>
      </c>
      <c r="CH76" s="1394">
        <v>0</v>
      </c>
      <c r="CI76" s="1394">
        <v>0</v>
      </c>
      <c r="CJ76" s="1394">
        <v>0</v>
      </c>
      <c r="CK76" s="1394">
        <v>0</v>
      </c>
      <c r="CL76" s="1394">
        <v>0</v>
      </c>
      <c r="CM76" s="1394">
        <v>0</v>
      </c>
      <c r="CN76" s="1394">
        <v>0</v>
      </c>
      <c r="CO76" s="1394">
        <v>0</v>
      </c>
      <c r="CP76" s="1394">
        <v>0</v>
      </c>
      <c r="CQ76" s="1394">
        <v>0</v>
      </c>
      <c r="CR76" s="1394">
        <v>0</v>
      </c>
      <c r="CS76" s="1394">
        <v>0</v>
      </c>
      <c r="CT76" s="1394">
        <v>0</v>
      </c>
      <c r="CU76" s="1394">
        <v>0</v>
      </c>
      <c r="CV76" s="1394">
        <v>0</v>
      </c>
      <c r="CW76" s="1394">
        <v>0</v>
      </c>
      <c r="CX76" s="1394">
        <v>0</v>
      </c>
      <c r="CY76" s="1394">
        <v>0</v>
      </c>
      <c r="CZ76" s="1394">
        <v>0</v>
      </c>
      <c r="DA76" s="1394">
        <v>0</v>
      </c>
      <c r="DB76" s="1394">
        <v>0</v>
      </c>
      <c r="DC76" s="1394">
        <v>0</v>
      </c>
      <c r="DD76" s="1394">
        <v>0</v>
      </c>
      <c r="DE76" s="1394">
        <v>0</v>
      </c>
      <c r="DF76" s="1394">
        <v>0</v>
      </c>
      <c r="DG76" s="1394">
        <v>0</v>
      </c>
      <c r="DH76" s="1394">
        <v>0</v>
      </c>
      <c r="DI76" s="1394">
        <v>0</v>
      </c>
      <c r="DJ76" s="1394">
        <v>0</v>
      </c>
      <c r="DK76" s="1394">
        <v>0</v>
      </c>
      <c r="DL76" s="1394">
        <v>0</v>
      </c>
      <c r="DM76" s="1394">
        <v>0</v>
      </c>
      <c r="DN76" s="1394">
        <v>0</v>
      </c>
      <c r="DO76" s="1394">
        <v>0</v>
      </c>
      <c r="DP76" s="1394">
        <v>0</v>
      </c>
      <c r="DQ76" s="1394">
        <v>0</v>
      </c>
      <c r="DR76" s="1394">
        <v>0</v>
      </c>
      <c r="DS76" s="1394">
        <v>0</v>
      </c>
      <c r="DT76" s="1394">
        <v>0</v>
      </c>
      <c r="DU76" s="1394">
        <v>0</v>
      </c>
      <c r="DV76" s="1394">
        <v>0</v>
      </c>
      <c r="DW76" s="1394">
        <v>0</v>
      </c>
      <c r="DX76" s="1394">
        <v>0</v>
      </c>
      <c r="DY76" s="1394">
        <v>0</v>
      </c>
      <c r="DZ76" s="1394">
        <v>0</v>
      </c>
      <c r="EA76" s="1394">
        <v>0</v>
      </c>
      <c r="EB76" s="1394">
        <v>0</v>
      </c>
      <c r="EC76" s="1394">
        <v>0</v>
      </c>
      <c r="ED76" s="1394">
        <v>0</v>
      </c>
      <c r="EE76" s="1394">
        <v>0</v>
      </c>
      <c r="EF76" s="1394">
        <v>0</v>
      </c>
      <c r="EG76" s="1394">
        <v>0</v>
      </c>
      <c r="EH76" s="1394">
        <v>0</v>
      </c>
      <c r="EI76" s="1394">
        <v>0</v>
      </c>
      <c r="EJ76" s="1394">
        <v>0</v>
      </c>
      <c r="EK76" s="1394">
        <v>0</v>
      </c>
      <c r="EL76" s="1394">
        <v>0</v>
      </c>
      <c r="EM76" s="1394">
        <v>0</v>
      </c>
      <c r="EN76" s="1394">
        <v>0</v>
      </c>
      <c r="EO76" s="1394">
        <v>0</v>
      </c>
      <c r="EP76" s="1394">
        <v>0</v>
      </c>
      <c r="EQ76" s="1394">
        <v>0</v>
      </c>
      <c r="ER76" s="1395">
        <v>0</v>
      </c>
      <c r="ES76" s="1403"/>
      <c r="ET76" s="318">
        <f t="shared" si="335"/>
        <v>1</v>
      </c>
      <c r="EU76" s="1394">
        <f t="shared" si="20"/>
        <v>1</v>
      </c>
      <c r="EV76" s="1394">
        <f t="shared" si="21"/>
        <v>1</v>
      </c>
      <c r="EW76" s="1394">
        <f t="shared" si="22"/>
        <v>1</v>
      </c>
      <c r="EX76" s="1394">
        <f t="shared" si="23"/>
        <v>1</v>
      </c>
      <c r="EY76" s="1394">
        <f t="shared" si="24"/>
        <v>1</v>
      </c>
      <c r="EZ76" s="1394">
        <f t="shared" si="25"/>
        <v>1</v>
      </c>
      <c r="FA76" s="1394">
        <f t="shared" si="26"/>
        <v>1</v>
      </c>
      <c r="FB76" s="1394">
        <f t="shared" si="27"/>
        <v>1</v>
      </c>
      <c r="FC76" s="1394">
        <f t="shared" si="28"/>
        <v>1</v>
      </c>
      <c r="FD76" s="1394">
        <f t="shared" si="29"/>
        <v>1</v>
      </c>
      <c r="FE76" s="1394">
        <f t="shared" si="30"/>
        <v>1</v>
      </c>
      <c r="FF76" s="1394">
        <f t="shared" si="31"/>
        <v>1</v>
      </c>
      <c r="FG76" s="1394">
        <f t="shared" si="32"/>
        <v>1</v>
      </c>
      <c r="FH76" s="1394">
        <f t="shared" si="33"/>
        <v>1</v>
      </c>
      <c r="FI76" s="1394">
        <f t="shared" si="34"/>
        <v>1</v>
      </c>
      <c r="FJ76" s="1394">
        <f t="shared" si="35"/>
        <v>1</v>
      </c>
      <c r="FK76" s="1394">
        <f t="shared" si="36"/>
        <v>1</v>
      </c>
      <c r="FL76" s="1394">
        <f t="shared" si="37"/>
        <v>1</v>
      </c>
      <c r="FM76" s="1394">
        <f t="shared" si="38"/>
        <v>1</v>
      </c>
      <c r="FN76" s="1394">
        <f t="shared" si="39"/>
        <v>1</v>
      </c>
      <c r="FO76" s="1394">
        <f t="shared" si="40"/>
        <v>1</v>
      </c>
      <c r="FP76" s="1394">
        <f t="shared" si="41"/>
        <v>1</v>
      </c>
      <c r="FQ76" s="1394">
        <f t="shared" si="42"/>
        <v>1</v>
      </c>
      <c r="FR76" s="1394">
        <f t="shared" si="43"/>
        <v>1</v>
      </c>
      <c r="FS76" s="1394">
        <f t="shared" si="44"/>
        <v>1</v>
      </c>
      <c r="FT76" s="1394">
        <f t="shared" si="45"/>
        <v>1</v>
      </c>
      <c r="FU76" s="1394">
        <f t="shared" si="46"/>
        <v>1</v>
      </c>
      <c r="FV76" s="1394">
        <f t="shared" si="47"/>
        <v>1</v>
      </c>
      <c r="FW76" s="1394">
        <f t="shared" si="48"/>
        <v>1</v>
      </c>
      <c r="FX76" s="1394">
        <f t="shared" si="49"/>
        <v>1</v>
      </c>
      <c r="FY76" s="1394">
        <f t="shared" si="50"/>
        <v>1</v>
      </c>
      <c r="FZ76" s="1394">
        <f t="shared" si="51"/>
        <v>1</v>
      </c>
      <c r="GA76" s="1394">
        <f t="shared" si="52"/>
        <v>1</v>
      </c>
      <c r="GB76" s="1394">
        <f t="shared" si="53"/>
        <v>1</v>
      </c>
      <c r="GC76" s="1394">
        <f t="shared" si="54"/>
        <v>1</v>
      </c>
      <c r="GD76" s="1394">
        <f t="shared" si="55"/>
        <v>1</v>
      </c>
      <c r="GE76" s="1394">
        <f t="shared" si="56"/>
        <v>1</v>
      </c>
      <c r="GF76" s="1394">
        <f t="shared" si="57"/>
        <v>1</v>
      </c>
      <c r="GG76" s="1394">
        <f t="shared" si="58"/>
        <v>1</v>
      </c>
      <c r="GH76" s="1394">
        <f t="shared" si="59"/>
        <v>1</v>
      </c>
      <c r="GI76" s="1394">
        <f t="shared" si="60"/>
        <v>1</v>
      </c>
      <c r="GJ76" s="1394">
        <f t="shared" si="61"/>
        <v>1</v>
      </c>
      <c r="GK76" s="1394">
        <f t="shared" si="62"/>
        <v>1</v>
      </c>
      <c r="GL76" s="1394">
        <f t="shared" si="63"/>
        <v>1</v>
      </c>
      <c r="GM76" s="1394">
        <f t="shared" si="64"/>
        <v>1</v>
      </c>
      <c r="GN76" s="1394">
        <f t="shared" si="65"/>
        <v>1</v>
      </c>
      <c r="GO76" s="1394">
        <f t="shared" si="66"/>
        <v>1</v>
      </c>
      <c r="GP76" s="1394">
        <f t="shared" si="67"/>
        <v>1</v>
      </c>
      <c r="GQ76" s="1394">
        <f t="shared" si="68"/>
        <v>1</v>
      </c>
      <c r="GR76" s="1394">
        <f t="shared" si="69"/>
        <v>1</v>
      </c>
      <c r="GS76" s="1394">
        <f t="shared" si="70"/>
        <v>1</v>
      </c>
      <c r="GT76" s="1394">
        <f t="shared" si="71"/>
        <v>1</v>
      </c>
      <c r="GU76" s="1394">
        <f t="shared" si="72"/>
        <v>1</v>
      </c>
      <c r="GV76" s="1394">
        <f t="shared" si="73"/>
        <v>1</v>
      </c>
      <c r="GW76" s="1394">
        <f t="shared" si="74"/>
        <v>1</v>
      </c>
      <c r="GX76" s="1394">
        <f t="shared" si="75"/>
        <v>1</v>
      </c>
      <c r="GY76" s="1394">
        <f t="shared" si="76"/>
        <v>1</v>
      </c>
      <c r="GZ76" s="1394">
        <f t="shared" si="77"/>
        <v>1</v>
      </c>
      <c r="HA76" s="1394">
        <f t="shared" si="78"/>
        <v>1</v>
      </c>
      <c r="HB76" s="1394">
        <f t="shared" si="79"/>
        <v>1</v>
      </c>
      <c r="HC76" s="1394">
        <f t="shared" si="80"/>
        <v>1</v>
      </c>
      <c r="HD76" s="1394">
        <f t="shared" si="81"/>
        <v>1</v>
      </c>
      <c r="HE76" s="1394">
        <f t="shared" si="82"/>
        <v>1</v>
      </c>
      <c r="HF76" s="1394">
        <f t="shared" si="83"/>
        <v>1</v>
      </c>
      <c r="HG76" s="1394">
        <f t="shared" si="84"/>
        <v>1</v>
      </c>
      <c r="HH76" s="1394">
        <f t="shared" si="85"/>
        <v>1</v>
      </c>
      <c r="HI76" s="1394">
        <f t="shared" si="86"/>
        <v>1</v>
      </c>
      <c r="HJ76" s="1394">
        <f t="shared" si="87"/>
        <v>1</v>
      </c>
      <c r="HK76" s="1394">
        <f t="shared" si="88"/>
        <v>1</v>
      </c>
      <c r="HL76" s="1394">
        <f t="shared" si="89"/>
        <v>1</v>
      </c>
      <c r="HM76" s="1394">
        <f t="shared" si="90"/>
        <v>1</v>
      </c>
      <c r="HN76" s="1394">
        <f t="shared" si="91"/>
        <v>1</v>
      </c>
      <c r="HO76" s="1394">
        <f t="shared" si="92"/>
        <v>1</v>
      </c>
      <c r="HP76" s="1394">
        <f t="shared" si="93"/>
        <v>1</v>
      </c>
      <c r="HQ76" s="1394">
        <f t="shared" si="94"/>
        <v>1</v>
      </c>
      <c r="HR76" s="1394">
        <f t="shared" si="95"/>
        <v>1</v>
      </c>
      <c r="HS76" s="1394">
        <f t="shared" si="96"/>
        <v>1</v>
      </c>
      <c r="HT76" s="1394">
        <f t="shared" si="97"/>
        <v>1</v>
      </c>
      <c r="HU76" s="1394">
        <f t="shared" si="98"/>
        <v>1</v>
      </c>
      <c r="HV76" s="1394">
        <f t="shared" si="99"/>
        <v>1</v>
      </c>
      <c r="HW76" s="1394">
        <f t="shared" si="100"/>
        <v>1</v>
      </c>
      <c r="HX76" s="1394">
        <f t="shared" si="101"/>
        <v>1</v>
      </c>
      <c r="HY76" s="1394">
        <f t="shared" si="102"/>
        <v>1</v>
      </c>
      <c r="HZ76" s="1394">
        <f t="shared" si="103"/>
        <v>1</v>
      </c>
      <c r="IA76" s="1394">
        <f t="shared" si="104"/>
        <v>1</v>
      </c>
      <c r="IB76" s="1394">
        <f t="shared" si="105"/>
        <v>1</v>
      </c>
      <c r="IC76" s="1394">
        <f t="shared" si="106"/>
        <v>1</v>
      </c>
      <c r="ID76" s="1394">
        <f t="shared" si="107"/>
        <v>1</v>
      </c>
      <c r="IE76" s="1394">
        <f t="shared" si="108"/>
        <v>1</v>
      </c>
      <c r="IF76" s="1394">
        <f t="shared" si="109"/>
        <v>1</v>
      </c>
      <c r="IG76" s="1394">
        <f t="shared" si="110"/>
        <v>1</v>
      </c>
      <c r="IH76" s="1394">
        <f t="shared" si="111"/>
        <v>1</v>
      </c>
      <c r="II76" s="1394">
        <f t="shared" si="112"/>
        <v>1</v>
      </c>
      <c r="IJ76" s="1394">
        <f t="shared" si="113"/>
        <v>1</v>
      </c>
      <c r="IK76" s="1394">
        <f t="shared" si="114"/>
        <v>1</v>
      </c>
      <c r="IL76" s="1394">
        <f t="shared" si="115"/>
        <v>1</v>
      </c>
      <c r="IM76" s="1394">
        <f t="shared" si="116"/>
        <v>1</v>
      </c>
      <c r="IN76" s="1394">
        <f t="shared" si="117"/>
        <v>1</v>
      </c>
      <c r="IO76" s="1394">
        <f t="shared" si="118"/>
        <v>1</v>
      </c>
      <c r="IP76" s="1394">
        <f t="shared" si="119"/>
        <v>1</v>
      </c>
      <c r="IQ76" s="1394">
        <f t="shared" si="120"/>
        <v>1</v>
      </c>
      <c r="IR76" s="1394">
        <f t="shared" si="121"/>
        <v>1</v>
      </c>
      <c r="IS76" s="1394">
        <f t="shared" si="122"/>
        <v>1</v>
      </c>
      <c r="IT76" s="1394">
        <f t="shared" si="123"/>
        <v>1</v>
      </c>
      <c r="IU76" s="1394">
        <f t="shared" si="124"/>
        <v>1</v>
      </c>
      <c r="IV76" s="1394">
        <f t="shared" si="125"/>
        <v>1</v>
      </c>
      <c r="IW76" s="1394">
        <f t="shared" si="126"/>
        <v>1</v>
      </c>
      <c r="IX76" s="1394">
        <f t="shared" si="127"/>
        <v>1</v>
      </c>
      <c r="IY76" s="1394">
        <f t="shared" si="128"/>
        <v>1</v>
      </c>
      <c r="IZ76" s="1394">
        <f t="shared" si="129"/>
        <v>1</v>
      </c>
      <c r="JA76" s="1394">
        <f t="shared" si="130"/>
        <v>1</v>
      </c>
      <c r="JB76" s="1394">
        <f t="shared" si="131"/>
        <v>1</v>
      </c>
      <c r="JC76" s="1394">
        <f t="shared" si="132"/>
        <v>1</v>
      </c>
      <c r="JD76" s="1394">
        <f t="shared" si="133"/>
        <v>1</v>
      </c>
      <c r="JE76" s="1394">
        <f t="shared" si="134"/>
        <v>1</v>
      </c>
      <c r="JF76" s="1394">
        <f t="shared" si="135"/>
        <v>1</v>
      </c>
      <c r="JG76" s="1394">
        <f t="shared" si="136"/>
        <v>1</v>
      </c>
      <c r="JH76" s="1394">
        <f t="shared" si="137"/>
        <v>1</v>
      </c>
      <c r="JI76" s="1394">
        <f t="shared" si="138"/>
        <v>1</v>
      </c>
      <c r="JJ76" s="1394">
        <f t="shared" si="139"/>
        <v>1</v>
      </c>
      <c r="JK76" s="1394">
        <f t="shared" si="140"/>
        <v>1</v>
      </c>
      <c r="JL76" s="1394">
        <f t="shared" si="141"/>
        <v>1</v>
      </c>
      <c r="JM76" s="1394">
        <f t="shared" si="142"/>
        <v>1</v>
      </c>
      <c r="JN76" s="1394">
        <f t="shared" si="143"/>
        <v>1</v>
      </c>
      <c r="JO76" s="1394">
        <f t="shared" si="144"/>
        <v>1</v>
      </c>
      <c r="JP76" s="1394">
        <f t="shared" si="145"/>
        <v>1</v>
      </c>
      <c r="JQ76" s="1394">
        <f t="shared" si="146"/>
        <v>1</v>
      </c>
      <c r="JR76" s="1394">
        <f t="shared" si="147"/>
        <v>1</v>
      </c>
      <c r="JS76" s="1394">
        <f t="shared" si="148"/>
        <v>1</v>
      </c>
      <c r="JT76" s="1394">
        <f t="shared" si="149"/>
        <v>1</v>
      </c>
      <c r="JU76" s="1394">
        <f t="shared" si="150"/>
        <v>1</v>
      </c>
      <c r="JV76" s="1394">
        <f t="shared" si="151"/>
        <v>1</v>
      </c>
      <c r="JW76" s="1394">
        <f t="shared" si="152"/>
        <v>1</v>
      </c>
      <c r="JX76" s="1394">
        <f t="shared" si="153"/>
        <v>1</v>
      </c>
      <c r="JY76" s="1394">
        <f t="shared" si="154"/>
        <v>1</v>
      </c>
      <c r="JZ76" s="1394">
        <f t="shared" si="155"/>
        <v>1</v>
      </c>
      <c r="KA76" s="1394">
        <f t="shared" si="156"/>
        <v>1</v>
      </c>
      <c r="KB76" s="1394">
        <f t="shared" si="157"/>
        <v>1</v>
      </c>
      <c r="KC76" s="1394">
        <f t="shared" si="158"/>
        <v>1</v>
      </c>
      <c r="KD76" s="1394">
        <f t="shared" si="159"/>
        <v>1</v>
      </c>
      <c r="KE76" s="1394">
        <f t="shared" si="160"/>
        <v>1</v>
      </c>
      <c r="KF76" s="1394">
        <f t="shared" si="161"/>
        <v>1</v>
      </c>
      <c r="KG76" s="1400">
        <f t="shared" si="162"/>
        <v>1</v>
      </c>
      <c r="KH76" s="1406">
        <f t="shared" si="163"/>
        <v>144</v>
      </c>
      <c r="KI76" s="377"/>
      <c r="KJ76" s="1444">
        <f t="shared" si="164"/>
        <v>19.879253198304003</v>
      </c>
      <c r="KK76" s="49">
        <f t="shared" si="165"/>
        <v>0</v>
      </c>
      <c r="KL76" s="377"/>
      <c r="KM76" s="1413">
        <f t="shared" si="166"/>
        <v>6.9444444444444441E-3</v>
      </c>
      <c r="KN76" s="1414">
        <f t="shared" si="167"/>
        <v>6.9444444444444441E-3</v>
      </c>
      <c r="KO76" s="1414">
        <f t="shared" si="168"/>
        <v>6.9444444444444441E-3</v>
      </c>
      <c r="KP76" s="1414">
        <f t="shared" si="169"/>
        <v>6.9444444444444441E-3</v>
      </c>
      <c r="KQ76" s="1414">
        <f t="shared" si="170"/>
        <v>6.9444444444444441E-3</v>
      </c>
      <c r="KR76" s="1414">
        <f t="shared" si="171"/>
        <v>6.9444444444444441E-3</v>
      </c>
      <c r="KS76" s="1414">
        <f t="shared" si="172"/>
        <v>6.9444444444444441E-3</v>
      </c>
      <c r="KT76" s="1414">
        <f t="shared" si="173"/>
        <v>6.9444444444444441E-3</v>
      </c>
      <c r="KU76" s="1414">
        <f t="shared" si="174"/>
        <v>6.9444444444444441E-3</v>
      </c>
      <c r="KV76" s="1414">
        <f t="shared" si="175"/>
        <v>6.9444444444444441E-3</v>
      </c>
      <c r="KW76" s="1414">
        <f t="shared" si="176"/>
        <v>6.9444444444444441E-3</v>
      </c>
      <c r="KX76" s="1414">
        <f t="shared" si="177"/>
        <v>6.9444444444444441E-3</v>
      </c>
      <c r="KY76" s="1414">
        <f t="shared" si="178"/>
        <v>6.9444444444444441E-3</v>
      </c>
      <c r="KZ76" s="1414">
        <f t="shared" si="179"/>
        <v>6.9444444444444441E-3</v>
      </c>
      <c r="LA76" s="1414">
        <f t="shared" si="180"/>
        <v>6.9444444444444441E-3</v>
      </c>
      <c r="LB76" s="1414">
        <f t="shared" si="181"/>
        <v>6.9444444444444441E-3</v>
      </c>
      <c r="LC76" s="1414">
        <f t="shared" si="182"/>
        <v>6.9444444444444441E-3</v>
      </c>
      <c r="LD76" s="1414">
        <f t="shared" si="183"/>
        <v>6.9444444444444441E-3</v>
      </c>
      <c r="LE76" s="1414">
        <f t="shared" si="184"/>
        <v>6.9444444444444441E-3</v>
      </c>
      <c r="LF76" s="1414">
        <f t="shared" si="185"/>
        <v>6.9444444444444441E-3</v>
      </c>
      <c r="LG76" s="1414">
        <f t="shared" si="186"/>
        <v>6.9444444444444441E-3</v>
      </c>
      <c r="LH76" s="1414">
        <f t="shared" si="187"/>
        <v>6.9444444444444441E-3</v>
      </c>
      <c r="LI76" s="1414">
        <f t="shared" si="188"/>
        <v>6.9444444444444441E-3</v>
      </c>
      <c r="LJ76" s="1414">
        <f t="shared" si="189"/>
        <v>6.9444444444444441E-3</v>
      </c>
      <c r="LK76" s="1414">
        <f t="shared" si="190"/>
        <v>6.9444444444444441E-3</v>
      </c>
      <c r="LL76" s="1414">
        <f t="shared" si="191"/>
        <v>6.9444444444444441E-3</v>
      </c>
      <c r="LM76" s="1414">
        <f t="shared" si="192"/>
        <v>6.9444444444444441E-3</v>
      </c>
      <c r="LN76" s="1414">
        <f t="shared" si="193"/>
        <v>6.9444444444444441E-3</v>
      </c>
      <c r="LO76" s="1414">
        <f t="shared" si="194"/>
        <v>6.9444444444444441E-3</v>
      </c>
      <c r="LP76" s="1414">
        <f t="shared" si="195"/>
        <v>6.9444444444444441E-3</v>
      </c>
      <c r="LQ76" s="1414">
        <f t="shared" si="196"/>
        <v>6.9444444444444441E-3</v>
      </c>
      <c r="LR76" s="1414">
        <f t="shared" si="197"/>
        <v>6.9444444444444441E-3</v>
      </c>
      <c r="LS76" s="1414">
        <f t="shared" si="198"/>
        <v>6.9444444444444441E-3</v>
      </c>
      <c r="LT76" s="1414">
        <f t="shared" si="199"/>
        <v>6.9444444444444441E-3</v>
      </c>
      <c r="LU76" s="1414">
        <f t="shared" si="200"/>
        <v>6.9444444444444441E-3</v>
      </c>
      <c r="LV76" s="1414">
        <f t="shared" si="201"/>
        <v>6.9444444444444441E-3</v>
      </c>
      <c r="LW76" s="1414">
        <f t="shared" si="202"/>
        <v>6.9444444444444441E-3</v>
      </c>
      <c r="LX76" s="1414">
        <f t="shared" si="203"/>
        <v>6.9444444444444441E-3</v>
      </c>
      <c r="LY76" s="1414">
        <f t="shared" si="204"/>
        <v>6.9444444444444441E-3</v>
      </c>
      <c r="LZ76" s="1414">
        <f t="shared" si="205"/>
        <v>6.9444444444444441E-3</v>
      </c>
      <c r="MA76" s="1414">
        <f t="shared" si="206"/>
        <v>6.9444444444444441E-3</v>
      </c>
      <c r="MB76" s="1414">
        <f t="shared" si="207"/>
        <v>6.9444444444444441E-3</v>
      </c>
      <c r="MC76" s="1414">
        <f t="shared" si="208"/>
        <v>6.9444444444444441E-3</v>
      </c>
      <c r="MD76" s="1414">
        <f t="shared" si="209"/>
        <v>6.9444444444444441E-3</v>
      </c>
      <c r="ME76" s="1414">
        <f t="shared" si="210"/>
        <v>6.9444444444444441E-3</v>
      </c>
      <c r="MF76" s="1414">
        <f t="shared" si="211"/>
        <v>6.9444444444444441E-3</v>
      </c>
      <c r="MG76" s="1414">
        <f t="shared" si="212"/>
        <v>6.9444444444444441E-3</v>
      </c>
      <c r="MH76" s="1414">
        <f t="shared" si="213"/>
        <v>6.9444444444444441E-3</v>
      </c>
      <c r="MI76" s="1414">
        <f t="shared" si="214"/>
        <v>6.9444444444444441E-3</v>
      </c>
      <c r="MJ76" s="1414">
        <f t="shared" si="215"/>
        <v>6.9444444444444441E-3</v>
      </c>
      <c r="MK76" s="1414">
        <f t="shared" si="216"/>
        <v>6.9444444444444441E-3</v>
      </c>
      <c r="ML76" s="1414">
        <f t="shared" si="217"/>
        <v>6.9444444444444441E-3</v>
      </c>
      <c r="MM76" s="1414">
        <f t="shared" si="218"/>
        <v>6.9444444444444441E-3</v>
      </c>
      <c r="MN76" s="1414">
        <f t="shared" si="219"/>
        <v>6.9444444444444441E-3</v>
      </c>
      <c r="MO76" s="1414">
        <f t="shared" si="220"/>
        <v>6.9444444444444441E-3</v>
      </c>
      <c r="MP76" s="1414">
        <f t="shared" si="221"/>
        <v>6.9444444444444441E-3</v>
      </c>
      <c r="MQ76" s="1414">
        <f t="shared" si="222"/>
        <v>6.9444444444444441E-3</v>
      </c>
      <c r="MR76" s="1414">
        <f t="shared" si="223"/>
        <v>6.9444444444444441E-3</v>
      </c>
      <c r="MS76" s="1414">
        <f t="shared" si="224"/>
        <v>6.9444444444444441E-3</v>
      </c>
      <c r="MT76" s="1414">
        <f t="shared" si="225"/>
        <v>6.9444444444444441E-3</v>
      </c>
      <c r="MU76" s="1414">
        <f t="shared" si="226"/>
        <v>6.9444444444444441E-3</v>
      </c>
      <c r="MV76" s="1414">
        <f t="shared" si="227"/>
        <v>6.9444444444444441E-3</v>
      </c>
      <c r="MW76" s="1414">
        <f t="shared" si="228"/>
        <v>6.9444444444444441E-3</v>
      </c>
      <c r="MX76" s="1414">
        <f t="shared" si="229"/>
        <v>6.9444444444444441E-3</v>
      </c>
      <c r="MY76" s="1414">
        <f t="shared" si="230"/>
        <v>6.9444444444444441E-3</v>
      </c>
      <c r="MZ76" s="1414">
        <f t="shared" si="231"/>
        <v>6.9444444444444441E-3</v>
      </c>
      <c r="NA76" s="1414">
        <f t="shared" si="232"/>
        <v>6.9444444444444441E-3</v>
      </c>
      <c r="NB76" s="1414">
        <f t="shared" si="233"/>
        <v>6.9444444444444441E-3</v>
      </c>
      <c r="NC76" s="1414">
        <f t="shared" si="234"/>
        <v>6.9444444444444441E-3</v>
      </c>
      <c r="ND76" s="1414">
        <f t="shared" si="235"/>
        <v>6.9444444444444441E-3</v>
      </c>
      <c r="NE76" s="1414">
        <f t="shared" si="236"/>
        <v>6.9444444444444441E-3</v>
      </c>
      <c r="NF76" s="1414">
        <f t="shared" si="237"/>
        <v>6.9444444444444441E-3</v>
      </c>
      <c r="NG76" s="1414">
        <f t="shared" si="238"/>
        <v>6.9444444444444441E-3</v>
      </c>
      <c r="NH76" s="1414">
        <f t="shared" si="239"/>
        <v>6.9444444444444441E-3</v>
      </c>
      <c r="NI76" s="1414">
        <f t="shared" si="240"/>
        <v>6.9444444444444441E-3</v>
      </c>
      <c r="NJ76" s="1414">
        <f t="shared" si="241"/>
        <v>6.9444444444444441E-3</v>
      </c>
      <c r="NK76" s="1414">
        <f t="shared" si="242"/>
        <v>6.9444444444444441E-3</v>
      </c>
      <c r="NL76" s="1414">
        <f t="shared" si="243"/>
        <v>6.9444444444444441E-3</v>
      </c>
      <c r="NM76" s="1414">
        <f t="shared" si="244"/>
        <v>6.9444444444444441E-3</v>
      </c>
      <c r="NN76" s="1414">
        <f t="shared" si="245"/>
        <v>6.9444444444444441E-3</v>
      </c>
      <c r="NO76" s="1414">
        <f t="shared" si="246"/>
        <v>6.9444444444444441E-3</v>
      </c>
      <c r="NP76" s="1414">
        <f t="shared" si="247"/>
        <v>6.9444444444444441E-3</v>
      </c>
      <c r="NQ76" s="1414">
        <f t="shared" si="248"/>
        <v>6.9444444444444441E-3</v>
      </c>
      <c r="NR76" s="1414">
        <f t="shared" si="249"/>
        <v>6.9444444444444441E-3</v>
      </c>
      <c r="NS76" s="1414">
        <f t="shared" si="250"/>
        <v>6.9444444444444441E-3</v>
      </c>
      <c r="NT76" s="1414">
        <f t="shared" si="251"/>
        <v>6.9444444444444441E-3</v>
      </c>
      <c r="NU76" s="1414">
        <f t="shared" si="252"/>
        <v>6.9444444444444441E-3</v>
      </c>
      <c r="NV76" s="1414">
        <f t="shared" si="253"/>
        <v>6.9444444444444441E-3</v>
      </c>
      <c r="NW76" s="1414">
        <f t="shared" si="254"/>
        <v>6.9444444444444441E-3</v>
      </c>
      <c r="NX76" s="1414">
        <f t="shared" si="255"/>
        <v>6.9444444444444441E-3</v>
      </c>
      <c r="NY76" s="1414">
        <f t="shared" si="256"/>
        <v>6.9444444444444441E-3</v>
      </c>
      <c r="NZ76" s="1414">
        <f t="shared" si="257"/>
        <v>6.9444444444444441E-3</v>
      </c>
      <c r="OA76" s="1414">
        <f t="shared" si="258"/>
        <v>6.9444444444444441E-3</v>
      </c>
      <c r="OB76" s="1414">
        <f t="shared" si="259"/>
        <v>6.9444444444444441E-3</v>
      </c>
      <c r="OC76" s="1414">
        <f t="shared" si="260"/>
        <v>6.9444444444444441E-3</v>
      </c>
      <c r="OD76" s="1414">
        <f t="shared" si="261"/>
        <v>6.9444444444444441E-3</v>
      </c>
      <c r="OE76" s="1414">
        <f t="shared" si="262"/>
        <v>6.9444444444444441E-3</v>
      </c>
      <c r="OF76" s="1414">
        <f t="shared" si="263"/>
        <v>6.9444444444444441E-3</v>
      </c>
      <c r="OG76" s="1414">
        <f t="shared" si="264"/>
        <v>6.9444444444444441E-3</v>
      </c>
      <c r="OH76" s="1414">
        <f t="shared" si="265"/>
        <v>6.9444444444444441E-3</v>
      </c>
      <c r="OI76" s="1414">
        <f t="shared" si="266"/>
        <v>6.9444444444444441E-3</v>
      </c>
      <c r="OJ76" s="1414">
        <f t="shared" si="267"/>
        <v>6.9444444444444441E-3</v>
      </c>
      <c r="OK76" s="1414">
        <f t="shared" si="268"/>
        <v>6.9444444444444441E-3</v>
      </c>
      <c r="OL76" s="1414">
        <f t="shared" si="269"/>
        <v>6.9444444444444441E-3</v>
      </c>
      <c r="OM76" s="1414">
        <f t="shared" si="270"/>
        <v>6.9444444444444441E-3</v>
      </c>
      <c r="ON76" s="1414">
        <f t="shared" si="271"/>
        <v>6.9444444444444441E-3</v>
      </c>
      <c r="OO76" s="1414">
        <f t="shared" si="272"/>
        <v>6.9444444444444441E-3</v>
      </c>
      <c r="OP76" s="1414">
        <f t="shared" si="273"/>
        <v>6.9444444444444441E-3</v>
      </c>
      <c r="OQ76" s="1414">
        <f t="shared" si="274"/>
        <v>6.9444444444444441E-3</v>
      </c>
      <c r="OR76" s="1414">
        <f t="shared" si="275"/>
        <v>6.9444444444444441E-3</v>
      </c>
      <c r="OS76" s="1414">
        <f t="shared" si="276"/>
        <v>6.9444444444444441E-3</v>
      </c>
      <c r="OT76" s="1414">
        <f t="shared" si="277"/>
        <v>6.9444444444444441E-3</v>
      </c>
      <c r="OU76" s="1414">
        <f t="shared" si="278"/>
        <v>6.9444444444444441E-3</v>
      </c>
      <c r="OV76" s="1414">
        <f t="shared" si="279"/>
        <v>6.9444444444444441E-3</v>
      </c>
      <c r="OW76" s="1414">
        <f t="shared" si="280"/>
        <v>6.9444444444444441E-3</v>
      </c>
      <c r="OX76" s="1414">
        <f t="shared" si="281"/>
        <v>6.9444444444444441E-3</v>
      </c>
      <c r="OY76" s="1414">
        <f t="shared" si="282"/>
        <v>6.9444444444444441E-3</v>
      </c>
      <c r="OZ76" s="1414">
        <f t="shared" si="283"/>
        <v>6.9444444444444441E-3</v>
      </c>
      <c r="PA76" s="1414">
        <f t="shared" si="284"/>
        <v>6.9444444444444441E-3</v>
      </c>
      <c r="PB76" s="1414">
        <f t="shared" si="285"/>
        <v>6.9444444444444441E-3</v>
      </c>
      <c r="PC76" s="1414">
        <f t="shared" si="286"/>
        <v>6.9444444444444441E-3</v>
      </c>
      <c r="PD76" s="1414">
        <f t="shared" si="287"/>
        <v>6.9444444444444441E-3</v>
      </c>
      <c r="PE76" s="1414">
        <f t="shared" si="288"/>
        <v>6.9444444444444441E-3</v>
      </c>
      <c r="PF76" s="1414">
        <f t="shared" si="289"/>
        <v>6.9444444444444441E-3</v>
      </c>
      <c r="PG76" s="1414">
        <f t="shared" si="290"/>
        <v>6.9444444444444441E-3</v>
      </c>
      <c r="PH76" s="1414">
        <f t="shared" si="291"/>
        <v>6.9444444444444441E-3</v>
      </c>
      <c r="PI76" s="1414">
        <f t="shared" si="292"/>
        <v>6.9444444444444441E-3</v>
      </c>
      <c r="PJ76" s="1414">
        <f t="shared" si="293"/>
        <v>6.9444444444444441E-3</v>
      </c>
      <c r="PK76" s="1414">
        <f t="shared" si="294"/>
        <v>6.9444444444444441E-3</v>
      </c>
      <c r="PL76" s="1414">
        <f t="shared" si="295"/>
        <v>6.9444444444444441E-3</v>
      </c>
      <c r="PM76" s="1414">
        <f t="shared" si="296"/>
        <v>6.9444444444444441E-3</v>
      </c>
      <c r="PN76" s="1414">
        <f t="shared" si="297"/>
        <v>6.9444444444444441E-3</v>
      </c>
      <c r="PO76" s="1414">
        <f t="shared" si="298"/>
        <v>6.9444444444444441E-3</v>
      </c>
      <c r="PP76" s="1414">
        <f t="shared" si="299"/>
        <v>6.9444444444444441E-3</v>
      </c>
      <c r="PQ76" s="1414">
        <f t="shared" si="300"/>
        <v>6.9444444444444441E-3</v>
      </c>
      <c r="PR76" s="1414">
        <f t="shared" si="301"/>
        <v>6.9444444444444441E-3</v>
      </c>
      <c r="PS76" s="1414">
        <f t="shared" si="302"/>
        <v>6.9444444444444441E-3</v>
      </c>
      <c r="PT76" s="1414">
        <f t="shared" si="303"/>
        <v>6.9444444444444441E-3</v>
      </c>
      <c r="PU76" s="1414">
        <f t="shared" si="304"/>
        <v>6.9444444444444441E-3</v>
      </c>
      <c r="PV76" s="1414">
        <f t="shared" si="305"/>
        <v>6.9444444444444441E-3</v>
      </c>
      <c r="PW76" s="1414">
        <f t="shared" si="306"/>
        <v>6.9444444444444441E-3</v>
      </c>
      <c r="PX76" s="1414">
        <f t="shared" si="307"/>
        <v>6.9444444444444441E-3</v>
      </c>
      <c r="PY76" s="1414">
        <f t="shared" si="308"/>
        <v>6.9444444444444441E-3</v>
      </c>
      <c r="PZ76" s="1415">
        <f t="shared" si="309"/>
        <v>6.9444444444444441E-3</v>
      </c>
      <c r="QB76" s="33" t="s">
        <v>1072</v>
      </c>
      <c r="QC76" s="1432">
        <f t="shared" si="336"/>
        <v>0.33333333333333309</v>
      </c>
      <c r="QD76" s="744">
        <f t="shared" si="337"/>
        <v>0.33333333333333309</v>
      </c>
      <c r="QE76" s="1068">
        <f t="shared" si="338"/>
        <v>0.33333333333333309</v>
      </c>
      <c r="QF76" s="744">
        <f t="shared" si="339"/>
        <v>0.33333333333333309</v>
      </c>
      <c r="QG76" s="744">
        <f t="shared" si="340"/>
        <v>0.33333333333333309</v>
      </c>
      <c r="QH76" s="1068">
        <f t="shared" si="341"/>
        <v>0.33333333333333309</v>
      </c>
      <c r="QI76" s="744">
        <f t="shared" si="342"/>
        <v>0.49999999999999917</v>
      </c>
      <c r="QJ76" s="1068">
        <f t="shared" si="343"/>
        <v>0.49999999999999917</v>
      </c>
      <c r="QK76" s="744">
        <f t="shared" si="344"/>
        <v>0.49999999999999917</v>
      </c>
      <c r="QL76" s="1068">
        <f t="shared" si="345"/>
        <v>0.49999999999999917</v>
      </c>
      <c r="QM76" s="744">
        <f t="shared" si="346"/>
        <v>0.49999999999999917</v>
      </c>
      <c r="QN76" s="1068">
        <f t="shared" si="347"/>
        <v>0.49999999999999917</v>
      </c>
      <c r="QO76" s="744">
        <f t="shared" si="348"/>
        <v>0.49999999999999917</v>
      </c>
      <c r="QP76" s="1068">
        <f t="shared" si="349"/>
        <v>0.49999999999999917</v>
      </c>
      <c r="QR76" s="1432">
        <f t="shared" si="467"/>
        <v>0.11111111111111115</v>
      </c>
      <c r="QS76" s="744">
        <f t="shared" si="468"/>
        <v>0.11111111111111115</v>
      </c>
      <c r="QT76" s="744">
        <f t="shared" si="469"/>
        <v>0.11111111111111115</v>
      </c>
      <c r="QU76" s="743">
        <f t="shared" si="470"/>
        <v>0.11111111111111115</v>
      </c>
      <c r="QV76" s="744">
        <f t="shared" si="471"/>
        <v>0.11111111111111115</v>
      </c>
      <c r="QW76" s="744">
        <f t="shared" si="472"/>
        <v>0.11111111111111115</v>
      </c>
      <c r="QX76" s="743">
        <f t="shared" si="473"/>
        <v>0.11111111111111115</v>
      </c>
      <c r="QY76" s="744">
        <f t="shared" si="474"/>
        <v>0.11111111111111115</v>
      </c>
      <c r="QZ76" s="745">
        <f t="shared" si="475"/>
        <v>0.11111111111111115</v>
      </c>
      <c r="RC76" s="744">
        <f t="shared" si="359"/>
        <v>5.5555555555555566E-2</v>
      </c>
      <c r="RD76" s="744">
        <f t="shared" si="360"/>
        <v>5.5555555555555566E-2</v>
      </c>
      <c r="RE76" s="744">
        <f t="shared" si="361"/>
        <v>5.5555555555555566E-2</v>
      </c>
      <c r="RF76" s="744">
        <f t="shared" si="362"/>
        <v>5.5555555555555566E-2</v>
      </c>
      <c r="RG76" s="744">
        <f t="shared" si="363"/>
        <v>5.5555555555555566E-2</v>
      </c>
      <c r="RH76" s="744">
        <f t="shared" si="364"/>
        <v>5.5555555555555566E-2</v>
      </c>
      <c r="RI76" s="744">
        <f t="shared" si="365"/>
        <v>5.5555555555555566E-2</v>
      </c>
      <c r="RJ76" s="744">
        <f t="shared" si="366"/>
        <v>5.5555555555555566E-2</v>
      </c>
      <c r="RK76" s="744">
        <f t="shared" si="367"/>
        <v>5.5555555555555566E-2</v>
      </c>
      <c r="RL76" s="1251"/>
      <c r="RM76" s="744">
        <f t="shared" si="368"/>
        <v>5.5555555555555566E-2</v>
      </c>
      <c r="RN76" s="744">
        <f t="shared" si="369"/>
        <v>5.5555555555555566E-2</v>
      </c>
      <c r="RO76" s="744">
        <f t="shared" si="370"/>
        <v>5.5555555555555566E-2</v>
      </c>
      <c r="RP76" s="744">
        <f t="shared" si="371"/>
        <v>5.5555555555555566E-2</v>
      </c>
      <c r="RQ76" s="744">
        <f t="shared" si="372"/>
        <v>5.5555555555555566E-2</v>
      </c>
      <c r="RR76" s="744">
        <f t="shared" si="373"/>
        <v>5.5555555555555566E-2</v>
      </c>
      <c r="RS76" s="744">
        <f t="shared" si="374"/>
        <v>5.5555555555555566E-2</v>
      </c>
      <c r="RT76" s="744">
        <f t="shared" si="375"/>
        <v>5.5555555555555566E-2</v>
      </c>
      <c r="RU76" s="744">
        <f t="shared" si="376"/>
        <v>5.5555555555555566E-2</v>
      </c>
      <c r="RV76" s="744"/>
      <c r="RW76" s="744">
        <f t="shared" si="377"/>
        <v>5.5555555555555566E-2</v>
      </c>
      <c r="RX76" s="744">
        <f t="shared" si="378"/>
        <v>5.5555555555555566E-2</v>
      </c>
      <c r="RY76" s="744">
        <f t="shared" si="379"/>
        <v>5.5555555555555566E-2</v>
      </c>
      <c r="RZ76" s="744">
        <f t="shared" si="380"/>
        <v>5.5555555555555566E-2</v>
      </c>
      <c r="SA76" s="744">
        <f t="shared" si="381"/>
        <v>5.5555555555555566E-2</v>
      </c>
      <c r="SB76" s="744">
        <f t="shared" si="382"/>
        <v>5.5555555555555566E-2</v>
      </c>
      <c r="SC76" s="744">
        <f t="shared" si="383"/>
        <v>5.5555555555555566E-2</v>
      </c>
      <c r="SD76" s="744">
        <f t="shared" si="384"/>
        <v>5.5555555555555566E-2</v>
      </c>
      <c r="SE76" s="744">
        <f t="shared" si="385"/>
        <v>5.5555555555555566E-2</v>
      </c>
      <c r="SF76" s="744"/>
      <c r="SG76" s="744">
        <f t="shared" si="386"/>
        <v>5.5555555555555566E-2</v>
      </c>
      <c r="SH76" s="744">
        <f t="shared" si="387"/>
        <v>5.5555555555555566E-2</v>
      </c>
      <c r="SI76" s="744">
        <f t="shared" si="388"/>
        <v>5.5555555555555566E-2</v>
      </c>
      <c r="SJ76" s="744">
        <f t="shared" si="389"/>
        <v>5.5555555555555566E-2</v>
      </c>
      <c r="SK76" s="744">
        <f t="shared" si="390"/>
        <v>5.5555555555555566E-2</v>
      </c>
      <c r="SL76" s="744">
        <f t="shared" si="391"/>
        <v>5.5555555555555566E-2</v>
      </c>
      <c r="SM76" s="744">
        <f t="shared" si="392"/>
        <v>5.5555555555555566E-2</v>
      </c>
      <c r="SN76" s="744">
        <f t="shared" si="393"/>
        <v>5.5555555555555566E-2</v>
      </c>
      <c r="SO76" s="744">
        <f t="shared" si="394"/>
        <v>5.5555555555555566E-2</v>
      </c>
      <c r="SP76" s="100"/>
      <c r="SQ76" s="114"/>
      <c r="SR76" s="806">
        <f t="shared" si="431"/>
        <v>0.49999999999999994</v>
      </c>
      <c r="SS76" s="806">
        <f t="shared" si="432"/>
        <v>0.49999999999999994</v>
      </c>
      <c r="ST76" s="806">
        <f t="shared" si="433"/>
        <v>0.49999999999999994</v>
      </c>
      <c r="SU76" s="806">
        <f t="shared" si="434"/>
        <v>0.49999999999999994</v>
      </c>
      <c r="SV76" s="806">
        <f t="shared" si="435"/>
        <v>0.49999999999999994</v>
      </c>
      <c r="SW76" s="806">
        <f t="shared" si="436"/>
        <v>0.49999999999999994</v>
      </c>
      <c r="SX76" s="806">
        <f t="shared" si="437"/>
        <v>0.49999999999999994</v>
      </c>
      <c r="SY76" s="806">
        <f t="shared" si="438"/>
        <v>0.49999999999999994</v>
      </c>
      <c r="SZ76" s="806">
        <f t="shared" si="439"/>
        <v>0.49999999999999994</v>
      </c>
      <c r="TA76" s="806"/>
      <c r="TB76" s="806">
        <f t="shared" si="440"/>
        <v>0.49999999999999994</v>
      </c>
      <c r="TC76" s="806">
        <f t="shared" si="441"/>
        <v>0.49999999999999994</v>
      </c>
      <c r="TD76" s="806">
        <f t="shared" si="442"/>
        <v>0.49999999999999994</v>
      </c>
      <c r="TE76" s="806">
        <f t="shared" si="443"/>
        <v>0.49999999999999994</v>
      </c>
      <c r="TF76" s="806">
        <f t="shared" si="444"/>
        <v>0.49999999999999994</v>
      </c>
      <c r="TG76" s="806">
        <f t="shared" si="445"/>
        <v>0.49999999999999994</v>
      </c>
      <c r="TH76" s="806">
        <f t="shared" si="446"/>
        <v>0.49999999999999994</v>
      </c>
      <c r="TI76" s="806">
        <f t="shared" si="447"/>
        <v>0.49999999999999994</v>
      </c>
      <c r="TJ76" s="806">
        <f t="shared" si="448"/>
        <v>0.49999999999999994</v>
      </c>
      <c r="TK76" s="806"/>
      <c r="TL76" s="806">
        <f t="shared" si="449"/>
        <v>0.49999999999999994</v>
      </c>
      <c r="TM76" s="806">
        <f t="shared" si="450"/>
        <v>0.49999999999999994</v>
      </c>
      <c r="TN76" s="806">
        <f t="shared" si="451"/>
        <v>0.49999999999999994</v>
      </c>
      <c r="TO76" s="806">
        <f t="shared" si="452"/>
        <v>0.49999999999999994</v>
      </c>
      <c r="TP76" s="806">
        <f t="shared" si="453"/>
        <v>0.49999999999999994</v>
      </c>
      <c r="TQ76" s="806">
        <f t="shared" si="454"/>
        <v>0.49999999999999994</v>
      </c>
      <c r="TR76" s="806">
        <f t="shared" si="455"/>
        <v>0.49999999999999994</v>
      </c>
      <c r="TS76" s="806">
        <f t="shared" si="456"/>
        <v>0.49999999999999994</v>
      </c>
      <c r="TT76" s="806">
        <f t="shared" si="457"/>
        <v>0.49999999999999994</v>
      </c>
      <c r="TU76" s="806"/>
      <c r="TV76" s="806">
        <f t="shared" si="458"/>
        <v>0.49999999999999994</v>
      </c>
      <c r="TW76" s="806">
        <f t="shared" si="459"/>
        <v>0.49999999999999994</v>
      </c>
      <c r="TX76" s="806">
        <f t="shared" si="460"/>
        <v>0.49999999999999994</v>
      </c>
      <c r="TY76" s="806">
        <f t="shared" si="461"/>
        <v>0.49999999999999994</v>
      </c>
      <c r="TZ76" s="806">
        <f t="shared" si="462"/>
        <v>0.49999999999999994</v>
      </c>
      <c r="UA76" s="806">
        <f t="shared" si="463"/>
        <v>0.49999999999999994</v>
      </c>
      <c r="UB76" s="806">
        <f t="shared" si="464"/>
        <v>0.49999999999999994</v>
      </c>
      <c r="UC76" s="806">
        <f t="shared" si="465"/>
        <v>0.49999999999999994</v>
      </c>
      <c r="UD76" s="1439">
        <f t="shared" si="466"/>
        <v>0.49999999999999994</v>
      </c>
    </row>
    <row r="77" spans="3:550" s="7" customFormat="1" ht="16.5" thickTop="1" thickBot="1" x14ac:dyDescent="0.3">
      <c r="C77" s="21" t="s">
        <v>1074</v>
      </c>
      <c r="D77" s="1308" t="s">
        <v>97</v>
      </c>
      <c r="E77" s="215">
        <v>0</v>
      </c>
      <c r="F77" s="1390">
        <v>0</v>
      </c>
      <c r="G77" s="1390">
        <v>0</v>
      </c>
      <c r="H77" s="1390">
        <v>0</v>
      </c>
      <c r="I77" s="1390">
        <v>0</v>
      </c>
      <c r="J77" s="1390">
        <v>0</v>
      </c>
      <c r="K77" s="1390">
        <v>0</v>
      </c>
      <c r="L77" s="1390">
        <v>0</v>
      </c>
      <c r="M77" s="1390">
        <v>0</v>
      </c>
      <c r="N77" s="1390">
        <v>0</v>
      </c>
      <c r="O77" s="1390">
        <v>0</v>
      </c>
      <c r="P77" s="1390">
        <v>0</v>
      </c>
      <c r="Q77" s="1390">
        <v>0</v>
      </c>
      <c r="R77" s="1390">
        <v>0</v>
      </c>
      <c r="S77" s="1390">
        <v>0</v>
      </c>
      <c r="T77" s="1390">
        <v>0</v>
      </c>
      <c r="U77" s="1390">
        <v>0</v>
      </c>
      <c r="V77" s="1390">
        <v>0</v>
      </c>
      <c r="W77" s="1390">
        <v>0</v>
      </c>
      <c r="X77" s="1390">
        <v>0</v>
      </c>
      <c r="Y77" s="1390">
        <v>0</v>
      </c>
      <c r="Z77" s="1390">
        <v>0</v>
      </c>
      <c r="AA77" s="1390">
        <v>0</v>
      </c>
      <c r="AB77" s="1390">
        <v>0</v>
      </c>
      <c r="AC77" s="1390">
        <v>0</v>
      </c>
      <c r="AD77" s="1390">
        <v>0</v>
      </c>
      <c r="AE77" s="1390">
        <v>0</v>
      </c>
      <c r="AF77" s="1390">
        <v>0</v>
      </c>
      <c r="AG77" s="1390">
        <v>0</v>
      </c>
      <c r="AH77" s="1390">
        <v>0</v>
      </c>
      <c r="AI77" s="1390">
        <v>0</v>
      </c>
      <c r="AJ77" s="1390">
        <v>0</v>
      </c>
      <c r="AK77" s="1390">
        <v>0</v>
      </c>
      <c r="AL77" s="1390">
        <v>0</v>
      </c>
      <c r="AM77" s="1390">
        <v>0</v>
      </c>
      <c r="AN77" s="1390">
        <v>0</v>
      </c>
      <c r="AO77" s="1390">
        <v>0</v>
      </c>
      <c r="AP77" s="1390">
        <v>0</v>
      </c>
      <c r="AQ77" s="1390">
        <v>0</v>
      </c>
      <c r="AR77" s="1390">
        <v>0</v>
      </c>
      <c r="AS77" s="1390">
        <v>0</v>
      </c>
      <c r="AT77" s="1390">
        <v>0</v>
      </c>
      <c r="AU77" s="1390">
        <v>0</v>
      </c>
      <c r="AV77" s="1390">
        <v>0</v>
      </c>
      <c r="AW77" s="1390">
        <v>0</v>
      </c>
      <c r="AX77" s="1390">
        <v>0</v>
      </c>
      <c r="AY77" s="1390">
        <v>0</v>
      </c>
      <c r="AZ77" s="1390">
        <v>0</v>
      </c>
      <c r="BA77" s="1390">
        <v>0</v>
      </c>
      <c r="BB77" s="1390">
        <v>0</v>
      </c>
      <c r="BC77" s="1390">
        <v>0</v>
      </c>
      <c r="BD77" s="1390">
        <v>0</v>
      </c>
      <c r="BE77" s="1390">
        <v>0</v>
      </c>
      <c r="BF77" s="1390">
        <v>0</v>
      </c>
      <c r="BG77" s="1390">
        <v>0</v>
      </c>
      <c r="BH77" s="1390">
        <v>0</v>
      </c>
      <c r="BI77" s="1390">
        <v>0</v>
      </c>
      <c r="BJ77" s="1390">
        <v>0</v>
      </c>
      <c r="BK77" s="1390">
        <v>0</v>
      </c>
      <c r="BL77" s="1390">
        <v>0</v>
      </c>
      <c r="BM77" s="1390">
        <v>0</v>
      </c>
      <c r="BN77" s="1390">
        <v>0</v>
      </c>
      <c r="BO77" s="1390">
        <v>0</v>
      </c>
      <c r="BP77" s="1390">
        <v>0</v>
      </c>
      <c r="BQ77" s="1390">
        <v>0</v>
      </c>
      <c r="BR77" s="1390">
        <v>0</v>
      </c>
      <c r="BS77" s="1390">
        <v>0</v>
      </c>
      <c r="BT77" s="1390">
        <v>0</v>
      </c>
      <c r="BU77" s="1390">
        <v>0</v>
      </c>
      <c r="BV77" s="1390">
        <v>0</v>
      </c>
      <c r="BW77" s="1390">
        <v>0</v>
      </c>
      <c r="BX77" s="1390">
        <v>0</v>
      </c>
      <c r="BY77" s="1390">
        <v>0</v>
      </c>
      <c r="BZ77" s="1390">
        <v>0</v>
      </c>
      <c r="CA77" s="1390">
        <v>0</v>
      </c>
      <c r="CB77" s="1390">
        <v>0</v>
      </c>
      <c r="CC77" s="1390">
        <v>0</v>
      </c>
      <c r="CD77" s="1390">
        <v>0</v>
      </c>
      <c r="CE77" s="1390">
        <v>0</v>
      </c>
      <c r="CF77" s="1390">
        <v>0</v>
      </c>
      <c r="CG77" s="1390">
        <v>0</v>
      </c>
      <c r="CH77" s="1390">
        <v>0</v>
      </c>
      <c r="CI77" s="1390">
        <v>0</v>
      </c>
      <c r="CJ77" s="1390">
        <v>0</v>
      </c>
      <c r="CK77" s="1390">
        <v>0</v>
      </c>
      <c r="CL77" s="1390">
        <v>0</v>
      </c>
      <c r="CM77" s="1390">
        <v>0</v>
      </c>
      <c r="CN77" s="1390">
        <v>0</v>
      </c>
      <c r="CO77" s="1390">
        <v>0</v>
      </c>
      <c r="CP77" s="1390">
        <v>0</v>
      </c>
      <c r="CQ77" s="1390">
        <v>0</v>
      </c>
      <c r="CR77" s="1390">
        <v>0</v>
      </c>
      <c r="CS77" s="1390">
        <v>0</v>
      </c>
      <c r="CT77" s="1390">
        <v>0</v>
      </c>
      <c r="CU77" s="1390">
        <v>0</v>
      </c>
      <c r="CV77" s="1390">
        <v>0</v>
      </c>
      <c r="CW77" s="1390">
        <v>0</v>
      </c>
      <c r="CX77" s="1390">
        <v>0</v>
      </c>
      <c r="CY77" s="1390">
        <v>0</v>
      </c>
      <c r="CZ77" s="1390">
        <v>0</v>
      </c>
      <c r="DA77" s="1390">
        <v>0</v>
      </c>
      <c r="DB77" s="1390">
        <v>0</v>
      </c>
      <c r="DC77" s="1390">
        <v>0</v>
      </c>
      <c r="DD77" s="1390">
        <v>0</v>
      </c>
      <c r="DE77" s="1390">
        <v>0</v>
      </c>
      <c r="DF77" s="1390">
        <v>0</v>
      </c>
      <c r="DG77" s="1390">
        <v>0</v>
      </c>
      <c r="DH77" s="1390">
        <v>0</v>
      </c>
      <c r="DI77" s="1390">
        <v>0</v>
      </c>
      <c r="DJ77" s="1390">
        <v>0</v>
      </c>
      <c r="DK77" s="1390">
        <v>0</v>
      </c>
      <c r="DL77" s="1390">
        <v>0</v>
      </c>
      <c r="DM77" s="1390">
        <v>0</v>
      </c>
      <c r="DN77" s="1390">
        <v>0</v>
      </c>
      <c r="DO77" s="1390">
        <v>0</v>
      </c>
      <c r="DP77" s="1390">
        <v>0</v>
      </c>
      <c r="DQ77" s="1390">
        <v>0</v>
      </c>
      <c r="DR77" s="1390">
        <v>0</v>
      </c>
      <c r="DS77" s="1390">
        <v>0</v>
      </c>
      <c r="DT77" s="1390">
        <v>0</v>
      </c>
      <c r="DU77" s="1390">
        <v>0</v>
      </c>
      <c r="DV77" s="1390">
        <v>0</v>
      </c>
      <c r="DW77" s="1390">
        <v>0</v>
      </c>
      <c r="DX77" s="1390">
        <v>0</v>
      </c>
      <c r="DY77" s="1390">
        <v>0</v>
      </c>
      <c r="DZ77" s="1390">
        <v>0</v>
      </c>
      <c r="EA77" s="1390">
        <v>0</v>
      </c>
      <c r="EB77" s="1390">
        <v>0</v>
      </c>
      <c r="EC77" s="1390">
        <v>0</v>
      </c>
      <c r="ED77" s="1390">
        <v>0</v>
      </c>
      <c r="EE77" s="1390">
        <v>0</v>
      </c>
      <c r="EF77" s="1390">
        <v>0</v>
      </c>
      <c r="EG77" s="1390">
        <v>0</v>
      </c>
      <c r="EH77" s="1390">
        <v>0</v>
      </c>
      <c r="EI77" s="1390">
        <v>0</v>
      </c>
      <c r="EJ77" s="1390">
        <v>0</v>
      </c>
      <c r="EK77" s="1390">
        <v>0</v>
      </c>
      <c r="EL77" s="1390">
        <v>0</v>
      </c>
      <c r="EM77" s="1390">
        <v>0</v>
      </c>
      <c r="EN77" s="1390">
        <v>0</v>
      </c>
      <c r="EO77" s="1390">
        <v>0</v>
      </c>
      <c r="EP77" s="1390">
        <v>0</v>
      </c>
      <c r="EQ77" s="1390">
        <v>0</v>
      </c>
      <c r="ER77" s="1391">
        <v>0</v>
      </c>
      <c r="ES77" s="377"/>
      <c r="ET77" s="320">
        <f t="shared" si="335"/>
        <v>1</v>
      </c>
      <c r="EU77" s="1401">
        <f t="shared" si="20"/>
        <v>1</v>
      </c>
      <c r="EV77" s="1401">
        <f t="shared" si="21"/>
        <v>1</v>
      </c>
      <c r="EW77" s="1401">
        <f t="shared" si="22"/>
        <v>1</v>
      </c>
      <c r="EX77" s="1401">
        <f t="shared" si="23"/>
        <v>1</v>
      </c>
      <c r="EY77" s="1401">
        <f t="shared" si="24"/>
        <v>1</v>
      </c>
      <c r="EZ77" s="1401">
        <f t="shared" si="25"/>
        <v>1</v>
      </c>
      <c r="FA77" s="1401">
        <f t="shared" si="26"/>
        <v>1</v>
      </c>
      <c r="FB77" s="1401">
        <f t="shared" si="27"/>
        <v>1</v>
      </c>
      <c r="FC77" s="1401">
        <f t="shared" si="28"/>
        <v>1</v>
      </c>
      <c r="FD77" s="1401">
        <f t="shared" si="29"/>
        <v>1</v>
      </c>
      <c r="FE77" s="1401">
        <f t="shared" si="30"/>
        <v>1</v>
      </c>
      <c r="FF77" s="1401">
        <f t="shared" si="31"/>
        <v>1</v>
      </c>
      <c r="FG77" s="1401">
        <f t="shared" si="32"/>
        <v>1</v>
      </c>
      <c r="FH77" s="1401">
        <f t="shared" si="33"/>
        <v>1</v>
      </c>
      <c r="FI77" s="1401">
        <f t="shared" si="34"/>
        <v>1</v>
      </c>
      <c r="FJ77" s="1401">
        <f t="shared" si="35"/>
        <v>1</v>
      </c>
      <c r="FK77" s="1401">
        <f t="shared" si="36"/>
        <v>1</v>
      </c>
      <c r="FL77" s="1401">
        <f t="shared" si="37"/>
        <v>1</v>
      </c>
      <c r="FM77" s="1401">
        <f t="shared" si="38"/>
        <v>1</v>
      </c>
      <c r="FN77" s="1401">
        <f t="shared" si="39"/>
        <v>1</v>
      </c>
      <c r="FO77" s="1401">
        <f t="shared" si="40"/>
        <v>1</v>
      </c>
      <c r="FP77" s="1401">
        <f t="shared" si="41"/>
        <v>1</v>
      </c>
      <c r="FQ77" s="1401">
        <f t="shared" si="42"/>
        <v>1</v>
      </c>
      <c r="FR77" s="1401">
        <f t="shared" si="43"/>
        <v>1</v>
      </c>
      <c r="FS77" s="1401">
        <f t="shared" si="44"/>
        <v>1</v>
      </c>
      <c r="FT77" s="1401">
        <f t="shared" si="45"/>
        <v>1</v>
      </c>
      <c r="FU77" s="1401">
        <f t="shared" si="46"/>
        <v>1</v>
      </c>
      <c r="FV77" s="1401">
        <f t="shared" si="47"/>
        <v>1</v>
      </c>
      <c r="FW77" s="1401">
        <f t="shared" si="48"/>
        <v>1</v>
      </c>
      <c r="FX77" s="1401">
        <f t="shared" si="49"/>
        <v>1</v>
      </c>
      <c r="FY77" s="1401">
        <f t="shared" si="50"/>
        <v>1</v>
      </c>
      <c r="FZ77" s="1401">
        <f t="shared" si="51"/>
        <v>1</v>
      </c>
      <c r="GA77" s="1401">
        <f t="shared" si="52"/>
        <v>1</v>
      </c>
      <c r="GB77" s="1401">
        <f t="shared" si="53"/>
        <v>1</v>
      </c>
      <c r="GC77" s="1401">
        <f t="shared" si="54"/>
        <v>1</v>
      </c>
      <c r="GD77" s="1401">
        <f t="shared" si="55"/>
        <v>1</v>
      </c>
      <c r="GE77" s="1401">
        <f t="shared" si="56"/>
        <v>1</v>
      </c>
      <c r="GF77" s="1401">
        <f t="shared" si="57"/>
        <v>1</v>
      </c>
      <c r="GG77" s="1401">
        <f t="shared" si="58"/>
        <v>1</v>
      </c>
      <c r="GH77" s="1401">
        <f t="shared" si="59"/>
        <v>1</v>
      </c>
      <c r="GI77" s="1401">
        <f t="shared" si="60"/>
        <v>1</v>
      </c>
      <c r="GJ77" s="1401">
        <f t="shared" si="61"/>
        <v>1</v>
      </c>
      <c r="GK77" s="1401">
        <f t="shared" si="62"/>
        <v>1</v>
      </c>
      <c r="GL77" s="1401">
        <f t="shared" si="63"/>
        <v>1</v>
      </c>
      <c r="GM77" s="1401">
        <f t="shared" si="64"/>
        <v>1</v>
      </c>
      <c r="GN77" s="1401">
        <f t="shared" si="65"/>
        <v>1</v>
      </c>
      <c r="GO77" s="1401">
        <f t="shared" si="66"/>
        <v>1</v>
      </c>
      <c r="GP77" s="1401">
        <f t="shared" si="67"/>
        <v>1</v>
      </c>
      <c r="GQ77" s="1401">
        <f t="shared" si="68"/>
        <v>1</v>
      </c>
      <c r="GR77" s="1401">
        <f t="shared" si="69"/>
        <v>1</v>
      </c>
      <c r="GS77" s="1401">
        <f t="shared" si="70"/>
        <v>1</v>
      </c>
      <c r="GT77" s="1401">
        <f t="shared" si="71"/>
        <v>1</v>
      </c>
      <c r="GU77" s="1401">
        <f t="shared" si="72"/>
        <v>1</v>
      </c>
      <c r="GV77" s="1401">
        <f t="shared" si="73"/>
        <v>1</v>
      </c>
      <c r="GW77" s="1401">
        <f t="shared" si="74"/>
        <v>1</v>
      </c>
      <c r="GX77" s="1401">
        <f t="shared" si="75"/>
        <v>1</v>
      </c>
      <c r="GY77" s="1401">
        <f t="shared" si="76"/>
        <v>1</v>
      </c>
      <c r="GZ77" s="1401">
        <f t="shared" si="77"/>
        <v>1</v>
      </c>
      <c r="HA77" s="1401">
        <f t="shared" si="78"/>
        <v>1</v>
      </c>
      <c r="HB77" s="1401">
        <f t="shared" si="79"/>
        <v>1</v>
      </c>
      <c r="HC77" s="1401">
        <f t="shared" si="80"/>
        <v>1</v>
      </c>
      <c r="HD77" s="1401">
        <f t="shared" si="81"/>
        <v>1</v>
      </c>
      <c r="HE77" s="1401">
        <f t="shared" si="82"/>
        <v>1</v>
      </c>
      <c r="HF77" s="1401">
        <f t="shared" si="83"/>
        <v>1</v>
      </c>
      <c r="HG77" s="1401">
        <f t="shared" si="84"/>
        <v>1</v>
      </c>
      <c r="HH77" s="1401">
        <f t="shared" si="85"/>
        <v>1</v>
      </c>
      <c r="HI77" s="1401">
        <f t="shared" si="86"/>
        <v>1</v>
      </c>
      <c r="HJ77" s="1401">
        <f t="shared" si="87"/>
        <v>1</v>
      </c>
      <c r="HK77" s="1401">
        <f t="shared" si="88"/>
        <v>1</v>
      </c>
      <c r="HL77" s="1401">
        <f t="shared" si="89"/>
        <v>1</v>
      </c>
      <c r="HM77" s="1401">
        <f t="shared" si="90"/>
        <v>1</v>
      </c>
      <c r="HN77" s="1401">
        <f t="shared" si="91"/>
        <v>1</v>
      </c>
      <c r="HO77" s="1401">
        <f t="shared" si="92"/>
        <v>1</v>
      </c>
      <c r="HP77" s="1401">
        <f t="shared" si="93"/>
        <v>1</v>
      </c>
      <c r="HQ77" s="1401">
        <f t="shared" si="94"/>
        <v>1</v>
      </c>
      <c r="HR77" s="1401">
        <f t="shared" si="95"/>
        <v>1</v>
      </c>
      <c r="HS77" s="1401">
        <f t="shared" si="96"/>
        <v>1</v>
      </c>
      <c r="HT77" s="1401">
        <f t="shared" si="97"/>
        <v>1</v>
      </c>
      <c r="HU77" s="1401">
        <f t="shared" si="98"/>
        <v>1</v>
      </c>
      <c r="HV77" s="1401">
        <f t="shared" si="99"/>
        <v>1</v>
      </c>
      <c r="HW77" s="1401">
        <f t="shared" si="100"/>
        <v>1</v>
      </c>
      <c r="HX77" s="1401">
        <f t="shared" si="101"/>
        <v>1</v>
      </c>
      <c r="HY77" s="1401">
        <f t="shared" si="102"/>
        <v>1</v>
      </c>
      <c r="HZ77" s="1401">
        <f t="shared" si="103"/>
        <v>1</v>
      </c>
      <c r="IA77" s="1401">
        <f t="shared" si="104"/>
        <v>1</v>
      </c>
      <c r="IB77" s="1401">
        <f t="shared" si="105"/>
        <v>1</v>
      </c>
      <c r="IC77" s="1401">
        <f t="shared" si="106"/>
        <v>1</v>
      </c>
      <c r="ID77" s="1401">
        <f t="shared" si="107"/>
        <v>1</v>
      </c>
      <c r="IE77" s="1401">
        <f t="shared" si="108"/>
        <v>1</v>
      </c>
      <c r="IF77" s="1401">
        <f t="shared" si="109"/>
        <v>1</v>
      </c>
      <c r="IG77" s="1401">
        <f t="shared" si="110"/>
        <v>1</v>
      </c>
      <c r="IH77" s="1401">
        <f t="shared" si="111"/>
        <v>1</v>
      </c>
      <c r="II77" s="1401">
        <f t="shared" si="112"/>
        <v>1</v>
      </c>
      <c r="IJ77" s="1401">
        <f t="shared" si="113"/>
        <v>1</v>
      </c>
      <c r="IK77" s="1401">
        <f t="shared" si="114"/>
        <v>1</v>
      </c>
      <c r="IL77" s="1401">
        <f t="shared" si="115"/>
        <v>1</v>
      </c>
      <c r="IM77" s="1401">
        <f t="shared" si="116"/>
        <v>1</v>
      </c>
      <c r="IN77" s="1401">
        <f t="shared" si="117"/>
        <v>1</v>
      </c>
      <c r="IO77" s="1401">
        <f t="shared" si="118"/>
        <v>1</v>
      </c>
      <c r="IP77" s="1401">
        <f t="shared" si="119"/>
        <v>1</v>
      </c>
      <c r="IQ77" s="1401">
        <f t="shared" si="120"/>
        <v>1</v>
      </c>
      <c r="IR77" s="1401">
        <f t="shared" si="121"/>
        <v>1</v>
      </c>
      <c r="IS77" s="1401">
        <f t="shared" si="122"/>
        <v>1</v>
      </c>
      <c r="IT77" s="1401">
        <f t="shared" si="123"/>
        <v>1</v>
      </c>
      <c r="IU77" s="1401">
        <f t="shared" si="124"/>
        <v>1</v>
      </c>
      <c r="IV77" s="1401">
        <f t="shared" si="125"/>
        <v>1</v>
      </c>
      <c r="IW77" s="1401">
        <f t="shared" si="126"/>
        <v>1</v>
      </c>
      <c r="IX77" s="1401">
        <f t="shared" si="127"/>
        <v>1</v>
      </c>
      <c r="IY77" s="1401">
        <f t="shared" si="128"/>
        <v>1</v>
      </c>
      <c r="IZ77" s="1401">
        <f t="shared" si="129"/>
        <v>1</v>
      </c>
      <c r="JA77" s="1401">
        <f t="shared" si="130"/>
        <v>1</v>
      </c>
      <c r="JB77" s="1401">
        <f t="shared" si="131"/>
        <v>1</v>
      </c>
      <c r="JC77" s="1401">
        <f t="shared" si="132"/>
        <v>1</v>
      </c>
      <c r="JD77" s="1401">
        <f t="shared" si="133"/>
        <v>1</v>
      </c>
      <c r="JE77" s="1401">
        <f t="shared" si="134"/>
        <v>1</v>
      </c>
      <c r="JF77" s="1401">
        <f t="shared" si="135"/>
        <v>1</v>
      </c>
      <c r="JG77" s="1401">
        <f t="shared" si="136"/>
        <v>1</v>
      </c>
      <c r="JH77" s="1401">
        <f t="shared" si="137"/>
        <v>1</v>
      </c>
      <c r="JI77" s="1401">
        <f t="shared" si="138"/>
        <v>1</v>
      </c>
      <c r="JJ77" s="1401">
        <f t="shared" si="139"/>
        <v>1</v>
      </c>
      <c r="JK77" s="1401">
        <f t="shared" si="140"/>
        <v>1</v>
      </c>
      <c r="JL77" s="1401">
        <f t="shared" si="141"/>
        <v>1</v>
      </c>
      <c r="JM77" s="1401">
        <f t="shared" si="142"/>
        <v>1</v>
      </c>
      <c r="JN77" s="1401">
        <f t="shared" si="143"/>
        <v>1</v>
      </c>
      <c r="JO77" s="1401">
        <f t="shared" si="144"/>
        <v>1</v>
      </c>
      <c r="JP77" s="1401">
        <f t="shared" si="145"/>
        <v>1</v>
      </c>
      <c r="JQ77" s="1401">
        <f t="shared" si="146"/>
        <v>1</v>
      </c>
      <c r="JR77" s="1401">
        <f t="shared" si="147"/>
        <v>1</v>
      </c>
      <c r="JS77" s="1401">
        <f t="shared" si="148"/>
        <v>1</v>
      </c>
      <c r="JT77" s="1401">
        <f t="shared" si="149"/>
        <v>1</v>
      </c>
      <c r="JU77" s="1401">
        <f t="shared" si="150"/>
        <v>1</v>
      </c>
      <c r="JV77" s="1401">
        <f t="shared" si="151"/>
        <v>1</v>
      </c>
      <c r="JW77" s="1401">
        <f t="shared" si="152"/>
        <v>1</v>
      </c>
      <c r="JX77" s="1401">
        <f t="shared" si="153"/>
        <v>1</v>
      </c>
      <c r="JY77" s="1401">
        <f t="shared" si="154"/>
        <v>1</v>
      </c>
      <c r="JZ77" s="1401">
        <f t="shared" si="155"/>
        <v>1</v>
      </c>
      <c r="KA77" s="1401">
        <f t="shared" si="156"/>
        <v>1</v>
      </c>
      <c r="KB77" s="1401">
        <f t="shared" si="157"/>
        <v>1</v>
      </c>
      <c r="KC77" s="1401">
        <f t="shared" si="158"/>
        <v>1</v>
      </c>
      <c r="KD77" s="1401">
        <f t="shared" si="159"/>
        <v>1</v>
      </c>
      <c r="KE77" s="1401">
        <f t="shared" si="160"/>
        <v>1</v>
      </c>
      <c r="KF77" s="1401">
        <f t="shared" si="161"/>
        <v>1</v>
      </c>
      <c r="KG77" s="1402">
        <f t="shared" si="162"/>
        <v>1</v>
      </c>
      <c r="KH77" s="1407">
        <f t="shared" si="163"/>
        <v>144</v>
      </c>
      <c r="KI77" s="377"/>
      <c r="KJ77" s="1445">
        <f t="shared" si="164"/>
        <v>19.879253198304003</v>
      </c>
      <c r="KK77" s="1447">
        <f t="shared" si="165"/>
        <v>0</v>
      </c>
      <c r="KL77" s="377"/>
      <c r="KM77" s="918">
        <f t="shared" si="166"/>
        <v>6.9444444444444441E-3</v>
      </c>
      <c r="KN77" s="1416">
        <f t="shared" si="167"/>
        <v>6.9444444444444441E-3</v>
      </c>
      <c r="KO77" s="1416">
        <f t="shared" si="168"/>
        <v>6.9444444444444441E-3</v>
      </c>
      <c r="KP77" s="1416">
        <f t="shared" si="169"/>
        <v>6.9444444444444441E-3</v>
      </c>
      <c r="KQ77" s="1416">
        <f t="shared" si="170"/>
        <v>6.9444444444444441E-3</v>
      </c>
      <c r="KR77" s="1416">
        <f t="shared" si="171"/>
        <v>6.9444444444444441E-3</v>
      </c>
      <c r="KS77" s="1416">
        <f t="shared" si="172"/>
        <v>6.9444444444444441E-3</v>
      </c>
      <c r="KT77" s="1416">
        <f t="shared" si="173"/>
        <v>6.9444444444444441E-3</v>
      </c>
      <c r="KU77" s="1416">
        <f t="shared" si="174"/>
        <v>6.9444444444444441E-3</v>
      </c>
      <c r="KV77" s="1416">
        <f t="shared" si="175"/>
        <v>6.9444444444444441E-3</v>
      </c>
      <c r="KW77" s="1416">
        <f t="shared" si="176"/>
        <v>6.9444444444444441E-3</v>
      </c>
      <c r="KX77" s="1416">
        <f t="shared" si="177"/>
        <v>6.9444444444444441E-3</v>
      </c>
      <c r="KY77" s="1416">
        <f t="shared" si="178"/>
        <v>6.9444444444444441E-3</v>
      </c>
      <c r="KZ77" s="1416">
        <f t="shared" si="179"/>
        <v>6.9444444444444441E-3</v>
      </c>
      <c r="LA77" s="1416">
        <f t="shared" si="180"/>
        <v>6.9444444444444441E-3</v>
      </c>
      <c r="LB77" s="1416">
        <f t="shared" si="181"/>
        <v>6.9444444444444441E-3</v>
      </c>
      <c r="LC77" s="1416">
        <f t="shared" si="182"/>
        <v>6.9444444444444441E-3</v>
      </c>
      <c r="LD77" s="1416">
        <f t="shared" si="183"/>
        <v>6.9444444444444441E-3</v>
      </c>
      <c r="LE77" s="1416">
        <f t="shared" si="184"/>
        <v>6.9444444444444441E-3</v>
      </c>
      <c r="LF77" s="1416">
        <f t="shared" si="185"/>
        <v>6.9444444444444441E-3</v>
      </c>
      <c r="LG77" s="1416">
        <f t="shared" si="186"/>
        <v>6.9444444444444441E-3</v>
      </c>
      <c r="LH77" s="1416">
        <f t="shared" si="187"/>
        <v>6.9444444444444441E-3</v>
      </c>
      <c r="LI77" s="1416">
        <f t="shared" si="188"/>
        <v>6.9444444444444441E-3</v>
      </c>
      <c r="LJ77" s="1416">
        <f t="shared" si="189"/>
        <v>6.9444444444444441E-3</v>
      </c>
      <c r="LK77" s="1416">
        <f t="shared" si="190"/>
        <v>6.9444444444444441E-3</v>
      </c>
      <c r="LL77" s="1416">
        <f t="shared" si="191"/>
        <v>6.9444444444444441E-3</v>
      </c>
      <c r="LM77" s="1416">
        <f t="shared" si="192"/>
        <v>6.9444444444444441E-3</v>
      </c>
      <c r="LN77" s="1416">
        <f t="shared" si="193"/>
        <v>6.9444444444444441E-3</v>
      </c>
      <c r="LO77" s="1416">
        <f t="shared" si="194"/>
        <v>6.9444444444444441E-3</v>
      </c>
      <c r="LP77" s="1416">
        <f t="shared" si="195"/>
        <v>6.9444444444444441E-3</v>
      </c>
      <c r="LQ77" s="1416">
        <f t="shared" si="196"/>
        <v>6.9444444444444441E-3</v>
      </c>
      <c r="LR77" s="1416">
        <f t="shared" si="197"/>
        <v>6.9444444444444441E-3</v>
      </c>
      <c r="LS77" s="1416">
        <f t="shared" si="198"/>
        <v>6.9444444444444441E-3</v>
      </c>
      <c r="LT77" s="1416">
        <f t="shared" si="199"/>
        <v>6.9444444444444441E-3</v>
      </c>
      <c r="LU77" s="1416">
        <f t="shared" si="200"/>
        <v>6.9444444444444441E-3</v>
      </c>
      <c r="LV77" s="1416">
        <f t="shared" si="201"/>
        <v>6.9444444444444441E-3</v>
      </c>
      <c r="LW77" s="1416">
        <f t="shared" si="202"/>
        <v>6.9444444444444441E-3</v>
      </c>
      <c r="LX77" s="1416">
        <f t="shared" si="203"/>
        <v>6.9444444444444441E-3</v>
      </c>
      <c r="LY77" s="1416">
        <f t="shared" si="204"/>
        <v>6.9444444444444441E-3</v>
      </c>
      <c r="LZ77" s="1416">
        <f t="shared" si="205"/>
        <v>6.9444444444444441E-3</v>
      </c>
      <c r="MA77" s="1416">
        <f t="shared" si="206"/>
        <v>6.9444444444444441E-3</v>
      </c>
      <c r="MB77" s="1416">
        <f t="shared" si="207"/>
        <v>6.9444444444444441E-3</v>
      </c>
      <c r="MC77" s="1416">
        <f t="shared" si="208"/>
        <v>6.9444444444444441E-3</v>
      </c>
      <c r="MD77" s="1416">
        <f t="shared" si="209"/>
        <v>6.9444444444444441E-3</v>
      </c>
      <c r="ME77" s="1416">
        <f t="shared" si="210"/>
        <v>6.9444444444444441E-3</v>
      </c>
      <c r="MF77" s="1416">
        <f t="shared" si="211"/>
        <v>6.9444444444444441E-3</v>
      </c>
      <c r="MG77" s="1416">
        <f t="shared" si="212"/>
        <v>6.9444444444444441E-3</v>
      </c>
      <c r="MH77" s="1416">
        <f t="shared" si="213"/>
        <v>6.9444444444444441E-3</v>
      </c>
      <c r="MI77" s="1416">
        <f t="shared" si="214"/>
        <v>6.9444444444444441E-3</v>
      </c>
      <c r="MJ77" s="1416">
        <f t="shared" si="215"/>
        <v>6.9444444444444441E-3</v>
      </c>
      <c r="MK77" s="1416">
        <f t="shared" si="216"/>
        <v>6.9444444444444441E-3</v>
      </c>
      <c r="ML77" s="1416">
        <f t="shared" si="217"/>
        <v>6.9444444444444441E-3</v>
      </c>
      <c r="MM77" s="1416">
        <f t="shared" si="218"/>
        <v>6.9444444444444441E-3</v>
      </c>
      <c r="MN77" s="1416">
        <f t="shared" si="219"/>
        <v>6.9444444444444441E-3</v>
      </c>
      <c r="MO77" s="1416">
        <f t="shared" si="220"/>
        <v>6.9444444444444441E-3</v>
      </c>
      <c r="MP77" s="1416">
        <f t="shared" si="221"/>
        <v>6.9444444444444441E-3</v>
      </c>
      <c r="MQ77" s="1416">
        <f t="shared" si="222"/>
        <v>6.9444444444444441E-3</v>
      </c>
      <c r="MR77" s="1416">
        <f t="shared" si="223"/>
        <v>6.9444444444444441E-3</v>
      </c>
      <c r="MS77" s="1416">
        <f t="shared" si="224"/>
        <v>6.9444444444444441E-3</v>
      </c>
      <c r="MT77" s="1416">
        <f t="shared" si="225"/>
        <v>6.9444444444444441E-3</v>
      </c>
      <c r="MU77" s="1416">
        <f t="shared" si="226"/>
        <v>6.9444444444444441E-3</v>
      </c>
      <c r="MV77" s="1416">
        <f t="shared" si="227"/>
        <v>6.9444444444444441E-3</v>
      </c>
      <c r="MW77" s="1416">
        <f t="shared" si="228"/>
        <v>6.9444444444444441E-3</v>
      </c>
      <c r="MX77" s="1416">
        <f t="shared" si="229"/>
        <v>6.9444444444444441E-3</v>
      </c>
      <c r="MY77" s="1416">
        <f t="shared" si="230"/>
        <v>6.9444444444444441E-3</v>
      </c>
      <c r="MZ77" s="1416">
        <f t="shared" si="231"/>
        <v>6.9444444444444441E-3</v>
      </c>
      <c r="NA77" s="1416">
        <f t="shared" si="232"/>
        <v>6.9444444444444441E-3</v>
      </c>
      <c r="NB77" s="1416">
        <f t="shared" si="233"/>
        <v>6.9444444444444441E-3</v>
      </c>
      <c r="NC77" s="1416">
        <f t="shared" si="234"/>
        <v>6.9444444444444441E-3</v>
      </c>
      <c r="ND77" s="1416">
        <f t="shared" si="235"/>
        <v>6.9444444444444441E-3</v>
      </c>
      <c r="NE77" s="1416">
        <f t="shared" si="236"/>
        <v>6.9444444444444441E-3</v>
      </c>
      <c r="NF77" s="1416">
        <f t="shared" si="237"/>
        <v>6.9444444444444441E-3</v>
      </c>
      <c r="NG77" s="1416">
        <f t="shared" si="238"/>
        <v>6.9444444444444441E-3</v>
      </c>
      <c r="NH77" s="1416">
        <f t="shared" si="239"/>
        <v>6.9444444444444441E-3</v>
      </c>
      <c r="NI77" s="1416">
        <f t="shared" si="240"/>
        <v>6.9444444444444441E-3</v>
      </c>
      <c r="NJ77" s="1416">
        <f t="shared" si="241"/>
        <v>6.9444444444444441E-3</v>
      </c>
      <c r="NK77" s="1416">
        <f t="shared" si="242"/>
        <v>6.9444444444444441E-3</v>
      </c>
      <c r="NL77" s="1416">
        <f t="shared" si="243"/>
        <v>6.9444444444444441E-3</v>
      </c>
      <c r="NM77" s="1416">
        <f t="shared" si="244"/>
        <v>6.9444444444444441E-3</v>
      </c>
      <c r="NN77" s="1416">
        <f t="shared" si="245"/>
        <v>6.9444444444444441E-3</v>
      </c>
      <c r="NO77" s="1416">
        <f t="shared" si="246"/>
        <v>6.9444444444444441E-3</v>
      </c>
      <c r="NP77" s="1416">
        <f t="shared" si="247"/>
        <v>6.9444444444444441E-3</v>
      </c>
      <c r="NQ77" s="1416">
        <f t="shared" si="248"/>
        <v>6.9444444444444441E-3</v>
      </c>
      <c r="NR77" s="1416">
        <f t="shared" si="249"/>
        <v>6.9444444444444441E-3</v>
      </c>
      <c r="NS77" s="1416">
        <f t="shared" si="250"/>
        <v>6.9444444444444441E-3</v>
      </c>
      <c r="NT77" s="1416">
        <f t="shared" si="251"/>
        <v>6.9444444444444441E-3</v>
      </c>
      <c r="NU77" s="1416">
        <f t="shared" si="252"/>
        <v>6.9444444444444441E-3</v>
      </c>
      <c r="NV77" s="1416">
        <f t="shared" si="253"/>
        <v>6.9444444444444441E-3</v>
      </c>
      <c r="NW77" s="1416">
        <f t="shared" si="254"/>
        <v>6.9444444444444441E-3</v>
      </c>
      <c r="NX77" s="1416">
        <f t="shared" si="255"/>
        <v>6.9444444444444441E-3</v>
      </c>
      <c r="NY77" s="1416">
        <f t="shared" si="256"/>
        <v>6.9444444444444441E-3</v>
      </c>
      <c r="NZ77" s="1416">
        <f t="shared" si="257"/>
        <v>6.9444444444444441E-3</v>
      </c>
      <c r="OA77" s="1416">
        <f t="shared" si="258"/>
        <v>6.9444444444444441E-3</v>
      </c>
      <c r="OB77" s="1416">
        <f t="shared" si="259"/>
        <v>6.9444444444444441E-3</v>
      </c>
      <c r="OC77" s="1416">
        <f t="shared" si="260"/>
        <v>6.9444444444444441E-3</v>
      </c>
      <c r="OD77" s="1416">
        <f t="shared" si="261"/>
        <v>6.9444444444444441E-3</v>
      </c>
      <c r="OE77" s="1416">
        <f t="shared" si="262"/>
        <v>6.9444444444444441E-3</v>
      </c>
      <c r="OF77" s="1416">
        <f t="shared" si="263"/>
        <v>6.9444444444444441E-3</v>
      </c>
      <c r="OG77" s="1416">
        <f t="shared" si="264"/>
        <v>6.9444444444444441E-3</v>
      </c>
      <c r="OH77" s="1416">
        <f t="shared" si="265"/>
        <v>6.9444444444444441E-3</v>
      </c>
      <c r="OI77" s="1416">
        <f t="shared" si="266"/>
        <v>6.9444444444444441E-3</v>
      </c>
      <c r="OJ77" s="1416">
        <f t="shared" si="267"/>
        <v>6.9444444444444441E-3</v>
      </c>
      <c r="OK77" s="1416">
        <f t="shared" si="268"/>
        <v>6.9444444444444441E-3</v>
      </c>
      <c r="OL77" s="1416">
        <f t="shared" si="269"/>
        <v>6.9444444444444441E-3</v>
      </c>
      <c r="OM77" s="1416">
        <f t="shared" si="270"/>
        <v>6.9444444444444441E-3</v>
      </c>
      <c r="ON77" s="1416">
        <f t="shared" si="271"/>
        <v>6.9444444444444441E-3</v>
      </c>
      <c r="OO77" s="1416">
        <f t="shared" si="272"/>
        <v>6.9444444444444441E-3</v>
      </c>
      <c r="OP77" s="1416">
        <f t="shared" si="273"/>
        <v>6.9444444444444441E-3</v>
      </c>
      <c r="OQ77" s="1416">
        <f t="shared" si="274"/>
        <v>6.9444444444444441E-3</v>
      </c>
      <c r="OR77" s="1416">
        <f t="shared" si="275"/>
        <v>6.9444444444444441E-3</v>
      </c>
      <c r="OS77" s="1416">
        <f t="shared" si="276"/>
        <v>6.9444444444444441E-3</v>
      </c>
      <c r="OT77" s="1416">
        <f t="shared" si="277"/>
        <v>6.9444444444444441E-3</v>
      </c>
      <c r="OU77" s="1416">
        <f t="shared" si="278"/>
        <v>6.9444444444444441E-3</v>
      </c>
      <c r="OV77" s="1416">
        <f t="shared" si="279"/>
        <v>6.9444444444444441E-3</v>
      </c>
      <c r="OW77" s="1416">
        <f t="shared" si="280"/>
        <v>6.9444444444444441E-3</v>
      </c>
      <c r="OX77" s="1416">
        <f t="shared" si="281"/>
        <v>6.9444444444444441E-3</v>
      </c>
      <c r="OY77" s="1416">
        <f t="shared" si="282"/>
        <v>6.9444444444444441E-3</v>
      </c>
      <c r="OZ77" s="1416">
        <f t="shared" si="283"/>
        <v>6.9444444444444441E-3</v>
      </c>
      <c r="PA77" s="1416">
        <f t="shared" si="284"/>
        <v>6.9444444444444441E-3</v>
      </c>
      <c r="PB77" s="1416">
        <f t="shared" si="285"/>
        <v>6.9444444444444441E-3</v>
      </c>
      <c r="PC77" s="1416">
        <f t="shared" si="286"/>
        <v>6.9444444444444441E-3</v>
      </c>
      <c r="PD77" s="1416">
        <f t="shared" si="287"/>
        <v>6.9444444444444441E-3</v>
      </c>
      <c r="PE77" s="1416">
        <f t="shared" si="288"/>
        <v>6.9444444444444441E-3</v>
      </c>
      <c r="PF77" s="1416">
        <f t="shared" si="289"/>
        <v>6.9444444444444441E-3</v>
      </c>
      <c r="PG77" s="1416">
        <f t="shared" si="290"/>
        <v>6.9444444444444441E-3</v>
      </c>
      <c r="PH77" s="1416">
        <f t="shared" si="291"/>
        <v>6.9444444444444441E-3</v>
      </c>
      <c r="PI77" s="1416">
        <f t="shared" si="292"/>
        <v>6.9444444444444441E-3</v>
      </c>
      <c r="PJ77" s="1416">
        <f t="shared" si="293"/>
        <v>6.9444444444444441E-3</v>
      </c>
      <c r="PK77" s="1416">
        <f t="shared" si="294"/>
        <v>6.9444444444444441E-3</v>
      </c>
      <c r="PL77" s="1416">
        <f t="shared" si="295"/>
        <v>6.9444444444444441E-3</v>
      </c>
      <c r="PM77" s="1416">
        <f t="shared" si="296"/>
        <v>6.9444444444444441E-3</v>
      </c>
      <c r="PN77" s="1416">
        <f t="shared" si="297"/>
        <v>6.9444444444444441E-3</v>
      </c>
      <c r="PO77" s="1416">
        <f t="shared" si="298"/>
        <v>6.9444444444444441E-3</v>
      </c>
      <c r="PP77" s="1416">
        <f t="shared" si="299"/>
        <v>6.9444444444444441E-3</v>
      </c>
      <c r="PQ77" s="1416">
        <f t="shared" si="300"/>
        <v>6.9444444444444441E-3</v>
      </c>
      <c r="PR77" s="1416">
        <f t="shared" si="301"/>
        <v>6.9444444444444441E-3</v>
      </c>
      <c r="PS77" s="1416">
        <f t="shared" si="302"/>
        <v>6.9444444444444441E-3</v>
      </c>
      <c r="PT77" s="1416">
        <f t="shared" si="303"/>
        <v>6.9444444444444441E-3</v>
      </c>
      <c r="PU77" s="1416">
        <f t="shared" si="304"/>
        <v>6.9444444444444441E-3</v>
      </c>
      <c r="PV77" s="1416">
        <f t="shared" si="305"/>
        <v>6.9444444444444441E-3</v>
      </c>
      <c r="PW77" s="1416">
        <f t="shared" si="306"/>
        <v>6.9444444444444441E-3</v>
      </c>
      <c r="PX77" s="1416">
        <f t="shared" si="307"/>
        <v>6.9444444444444441E-3</v>
      </c>
      <c r="PY77" s="1416">
        <f t="shared" si="308"/>
        <v>6.9444444444444441E-3</v>
      </c>
      <c r="PZ77" s="1417">
        <f t="shared" si="309"/>
        <v>6.9444444444444441E-3</v>
      </c>
      <c r="QB77" s="33" t="s">
        <v>1072</v>
      </c>
      <c r="QC77" s="1433">
        <f t="shared" si="336"/>
        <v>0.33333333333333309</v>
      </c>
      <c r="QD77" s="748">
        <f t="shared" si="337"/>
        <v>0.33333333333333309</v>
      </c>
      <c r="QE77" s="1434">
        <f t="shared" si="338"/>
        <v>0.33333333333333309</v>
      </c>
      <c r="QF77" s="748">
        <f t="shared" si="339"/>
        <v>0.33333333333333309</v>
      </c>
      <c r="QG77" s="748">
        <f t="shared" si="340"/>
        <v>0.33333333333333309</v>
      </c>
      <c r="QH77" s="1434">
        <f t="shared" si="341"/>
        <v>0.33333333333333309</v>
      </c>
      <c r="QI77" s="748">
        <f t="shared" si="342"/>
        <v>0.49999999999999917</v>
      </c>
      <c r="QJ77" s="1434">
        <f t="shared" si="343"/>
        <v>0.49999999999999917</v>
      </c>
      <c r="QK77" s="748">
        <f t="shared" si="344"/>
        <v>0.49999999999999917</v>
      </c>
      <c r="QL77" s="1434">
        <f t="shared" si="345"/>
        <v>0.49999999999999917</v>
      </c>
      <c r="QM77" s="748">
        <f t="shared" si="346"/>
        <v>0.49999999999999917</v>
      </c>
      <c r="QN77" s="1434">
        <f t="shared" si="347"/>
        <v>0.49999999999999917</v>
      </c>
      <c r="QO77" s="748">
        <f t="shared" si="348"/>
        <v>0.49999999999999917</v>
      </c>
      <c r="QP77" s="1434">
        <f t="shared" si="349"/>
        <v>0.49999999999999917</v>
      </c>
      <c r="QQ77" s="166"/>
      <c r="QR77" s="1433">
        <f t="shared" si="467"/>
        <v>0.11111111111111115</v>
      </c>
      <c r="QS77" s="748">
        <f t="shared" si="468"/>
        <v>0.11111111111111115</v>
      </c>
      <c r="QT77" s="748">
        <f t="shared" si="469"/>
        <v>0.11111111111111115</v>
      </c>
      <c r="QU77" s="747">
        <f t="shared" si="470"/>
        <v>0.11111111111111115</v>
      </c>
      <c r="QV77" s="748">
        <f t="shared" si="471"/>
        <v>0.11111111111111115</v>
      </c>
      <c r="QW77" s="748">
        <f t="shared" si="472"/>
        <v>0.11111111111111115</v>
      </c>
      <c r="QX77" s="747">
        <f t="shared" si="473"/>
        <v>0.11111111111111115</v>
      </c>
      <c r="QY77" s="748">
        <f t="shared" si="474"/>
        <v>0.11111111111111115</v>
      </c>
      <c r="QZ77" s="749">
        <f t="shared" si="475"/>
        <v>0.11111111111111115</v>
      </c>
      <c r="RA77" s="166"/>
      <c r="RB77" s="166"/>
      <c r="RC77" s="748">
        <f t="shared" si="359"/>
        <v>5.5555555555555566E-2</v>
      </c>
      <c r="RD77" s="748">
        <f t="shared" si="360"/>
        <v>5.5555555555555566E-2</v>
      </c>
      <c r="RE77" s="748">
        <f t="shared" si="361"/>
        <v>5.5555555555555566E-2</v>
      </c>
      <c r="RF77" s="748">
        <f t="shared" si="362"/>
        <v>5.5555555555555566E-2</v>
      </c>
      <c r="RG77" s="748">
        <f t="shared" si="363"/>
        <v>5.5555555555555566E-2</v>
      </c>
      <c r="RH77" s="748">
        <f t="shared" si="364"/>
        <v>5.5555555555555566E-2</v>
      </c>
      <c r="RI77" s="748">
        <f t="shared" si="365"/>
        <v>5.5555555555555566E-2</v>
      </c>
      <c r="RJ77" s="748">
        <f t="shared" si="366"/>
        <v>5.5555555555555566E-2</v>
      </c>
      <c r="RK77" s="748">
        <f t="shared" si="367"/>
        <v>5.5555555555555566E-2</v>
      </c>
      <c r="RL77" s="1259"/>
      <c r="RM77" s="748">
        <f t="shared" si="368"/>
        <v>5.5555555555555566E-2</v>
      </c>
      <c r="RN77" s="748">
        <f t="shared" si="369"/>
        <v>5.5555555555555566E-2</v>
      </c>
      <c r="RO77" s="748">
        <f t="shared" si="370"/>
        <v>5.5555555555555566E-2</v>
      </c>
      <c r="RP77" s="748">
        <f t="shared" si="371"/>
        <v>5.5555555555555566E-2</v>
      </c>
      <c r="RQ77" s="748">
        <f t="shared" si="372"/>
        <v>5.5555555555555566E-2</v>
      </c>
      <c r="RR77" s="748">
        <f t="shared" si="373"/>
        <v>5.5555555555555566E-2</v>
      </c>
      <c r="RS77" s="748">
        <f t="shared" si="374"/>
        <v>5.5555555555555566E-2</v>
      </c>
      <c r="RT77" s="748">
        <f t="shared" si="375"/>
        <v>5.5555555555555566E-2</v>
      </c>
      <c r="RU77" s="748">
        <f t="shared" si="376"/>
        <v>5.5555555555555566E-2</v>
      </c>
      <c r="RV77" s="748"/>
      <c r="RW77" s="748">
        <f t="shared" si="377"/>
        <v>5.5555555555555566E-2</v>
      </c>
      <c r="RX77" s="748">
        <f t="shared" si="378"/>
        <v>5.5555555555555566E-2</v>
      </c>
      <c r="RY77" s="748">
        <f t="shared" si="379"/>
        <v>5.5555555555555566E-2</v>
      </c>
      <c r="RZ77" s="748">
        <f t="shared" si="380"/>
        <v>5.5555555555555566E-2</v>
      </c>
      <c r="SA77" s="748">
        <f t="shared" si="381"/>
        <v>5.5555555555555566E-2</v>
      </c>
      <c r="SB77" s="748">
        <f t="shared" si="382"/>
        <v>5.5555555555555566E-2</v>
      </c>
      <c r="SC77" s="748">
        <f t="shared" si="383"/>
        <v>5.5555555555555566E-2</v>
      </c>
      <c r="SD77" s="748">
        <f t="shared" si="384"/>
        <v>5.5555555555555566E-2</v>
      </c>
      <c r="SE77" s="748">
        <f t="shared" si="385"/>
        <v>5.5555555555555566E-2</v>
      </c>
      <c r="SF77" s="748"/>
      <c r="SG77" s="748">
        <f t="shared" si="386"/>
        <v>5.5555555555555566E-2</v>
      </c>
      <c r="SH77" s="748">
        <f t="shared" si="387"/>
        <v>5.5555555555555566E-2</v>
      </c>
      <c r="SI77" s="748">
        <f t="shared" si="388"/>
        <v>5.5555555555555566E-2</v>
      </c>
      <c r="SJ77" s="748">
        <f t="shared" si="389"/>
        <v>5.5555555555555566E-2</v>
      </c>
      <c r="SK77" s="748">
        <f t="shared" si="390"/>
        <v>5.5555555555555566E-2</v>
      </c>
      <c r="SL77" s="748">
        <f t="shared" si="391"/>
        <v>5.5555555555555566E-2</v>
      </c>
      <c r="SM77" s="748">
        <f t="shared" si="392"/>
        <v>5.5555555555555566E-2</v>
      </c>
      <c r="SN77" s="748">
        <f t="shared" si="393"/>
        <v>5.5555555555555566E-2</v>
      </c>
      <c r="SO77" s="748">
        <f t="shared" si="394"/>
        <v>5.5555555555555566E-2</v>
      </c>
      <c r="SP77" s="102"/>
      <c r="SQ77" s="119"/>
      <c r="SR77" s="1440">
        <f t="shared" si="431"/>
        <v>0.49999999999999994</v>
      </c>
      <c r="SS77" s="1440">
        <f t="shared" si="432"/>
        <v>0.49999999999999994</v>
      </c>
      <c r="ST77" s="1440">
        <f t="shared" si="433"/>
        <v>0.49999999999999994</v>
      </c>
      <c r="SU77" s="1440">
        <f t="shared" si="434"/>
        <v>0.49999999999999994</v>
      </c>
      <c r="SV77" s="1440">
        <f t="shared" si="435"/>
        <v>0.49999999999999994</v>
      </c>
      <c r="SW77" s="1440">
        <f t="shared" si="436"/>
        <v>0.49999999999999994</v>
      </c>
      <c r="SX77" s="1440">
        <f t="shared" si="437"/>
        <v>0.49999999999999994</v>
      </c>
      <c r="SY77" s="1440">
        <f t="shared" si="438"/>
        <v>0.49999999999999994</v>
      </c>
      <c r="SZ77" s="1440">
        <f t="shared" si="439"/>
        <v>0.49999999999999994</v>
      </c>
      <c r="TA77" s="1440"/>
      <c r="TB77" s="1440">
        <f t="shared" si="440"/>
        <v>0.49999999999999994</v>
      </c>
      <c r="TC77" s="1440">
        <f t="shared" si="441"/>
        <v>0.49999999999999994</v>
      </c>
      <c r="TD77" s="1440">
        <f t="shared" si="442"/>
        <v>0.49999999999999994</v>
      </c>
      <c r="TE77" s="1440">
        <f t="shared" si="443"/>
        <v>0.49999999999999994</v>
      </c>
      <c r="TF77" s="1440">
        <f t="shared" si="444"/>
        <v>0.49999999999999994</v>
      </c>
      <c r="TG77" s="1440">
        <f t="shared" si="445"/>
        <v>0.49999999999999994</v>
      </c>
      <c r="TH77" s="1440">
        <f t="shared" si="446"/>
        <v>0.49999999999999994</v>
      </c>
      <c r="TI77" s="1440">
        <f t="shared" si="447"/>
        <v>0.49999999999999994</v>
      </c>
      <c r="TJ77" s="1440">
        <f t="shared" si="448"/>
        <v>0.49999999999999994</v>
      </c>
      <c r="TK77" s="1440"/>
      <c r="TL77" s="1440">
        <f t="shared" si="449"/>
        <v>0.49999999999999994</v>
      </c>
      <c r="TM77" s="1440">
        <f t="shared" si="450"/>
        <v>0.49999999999999994</v>
      </c>
      <c r="TN77" s="1440">
        <f t="shared" si="451"/>
        <v>0.49999999999999994</v>
      </c>
      <c r="TO77" s="1440">
        <f t="shared" si="452"/>
        <v>0.49999999999999994</v>
      </c>
      <c r="TP77" s="1440">
        <f t="shared" si="453"/>
        <v>0.49999999999999994</v>
      </c>
      <c r="TQ77" s="1440">
        <f t="shared" si="454"/>
        <v>0.49999999999999994</v>
      </c>
      <c r="TR77" s="1440">
        <f t="shared" si="455"/>
        <v>0.49999999999999994</v>
      </c>
      <c r="TS77" s="1440">
        <f t="shared" si="456"/>
        <v>0.49999999999999994</v>
      </c>
      <c r="TT77" s="1440">
        <f t="shared" si="457"/>
        <v>0.49999999999999994</v>
      </c>
      <c r="TU77" s="1440"/>
      <c r="TV77" s="1440">
        <f t="shared" si="458"/>
        <v>0.49999999999999994</v>
      </c>
      <c r="TW77" s="1440">
        <f t="shared" si="459"/>
        <v>0.49999999999999994</v>
      </c>
      <c r="TX77" s="1440">
        <f t="shared" si="460"/>
        <v>0.49999999999999994</v>
      </c>
      <c r="TY77" s="1440">
        <f t="shared" si="461"/>
        <v>0.49999999999999994</v>
      </c>
      <c r="TZ77" s="1440">
        <f t="shared" si="462"/>
        <v>0.49999999999999994</v>
      </c>
      <c r="UA77" s="1440">
        <f t="shared" si="463"/>
        <v>0.49999999999999994</v>
      </c>
      <c r="UB77" s="1440">
        <f t="shared" si="464"/>
        <v>0.49999999999999994</v>
      </c>
      <c r="UC77" s="1440">
        <f t="shared" si="465"/>
        <v>0.49999999999999994</v>
      </c>
      <c r="UD77" s="1441">
        <f t="shared" si="466"/>
        <v>0.49999999999999994</v>
      </c>
    </row>
    <row r="78" spans="3:550" s="7" customFormat="1" ht="15.75" thickBot="1" x14ac:dyDescent="0.3">
      <c r="C78"/>
      <c r="D78"/>
      <c r="E78" s="33"/>
      <c r="F78" s="33"/>
      <c r="G78" s="33"/>
      <c r="H78" s="33"/>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KI78" s="8"/>
      <c r="KJ78" s="83"/>
      <c r="KK78" s="8" t="s">
        <v>108</v>
      </c>
      <c r="KL78" s="8"/>
      <c r="QB78" s="33" t="s">
        <v>1072</v>
      </c>
      <c r="QE78" s="6"/>
      <c r="QH78" s="6"/>
      <c r="QJ78" s="6"/>
      <c r="QL78" s="6"/>
      <c r="QN78" s="6"/>
      <c r="QP78" s="6"/>
      <c r="QR78" s="744"/>
      <c r="QS78" s="744"/>
      <c r="QT78" s="744"/>
      <c r="QU78" s="744"/>
      <c r="QV78" s="744"/>
      <c r="QW78" s="744"/>
      <c r="QX78" s="744"/>
      <c r="QY78" s="744"/>
      <c r="QZ78" s="1068"/>
    </row>
    <row r="79" spans="3:550" s="7" customFormat="1" ht="15.75" thickBot="1" x14ac:dyDescent="0.3">
      <c r="G79" s="140"/>
      <c r="H79" s="17"/>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KI79" s="8"/>
      <c r="KJ79" s="244"/>
      <c r="KK79" t="s">
        <v>109</v>
      </c>
      <c r="KL79" s="8"/>
      <c r="QB79" s="33" t="s">
        <v>1072</v>
      </c>
      <c r="QE79" s="6"/>
      <c r="QH79" s="6"/>
      <c r="QJ79" s="6"/>
      <c r="QL79" s="6"/>
      <c r="QN79" s="6"/>
      <c r="QP79" s="6"/>
      <c r="QZ79" s="6"/>
    </row>
    <row r="80" spans="3:550" s="7" customFormat="1" ht="15.75" thickBot="1" x14ac:dyDescent="0.3">
      <c r="H80" s="33"/>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KJ80" s="244"/>
      <c r="KK80" s="7" t="s">
        <v>788</v>
      </c>
      <c r="KL80" s="8"/>
      <c r="QB80" s="33" t="s">
        <v>1072</v>
      </c>
      <c r="QE80" s="6"/>
      <c r="QH80" s="6"/>
      <c r="QJ80" s="6"/>
      <c r="QL80" s="6"/>
      <c r="QN80" s="6"/>
      <c r="QP80" s="6"/>
      <c r="QZ80" s="6"/>
    </row>
    <row r="81" spans="3:509" x14ac:dyDescent="0.25">
      <c r="G81" s="17"/>
      <c r="P81" s="207"/>
      <c r="Q81" s="207"/>
      <c r="R81" s="207"/>
      <c r="KJ81" s="194"/>
      <c r="KK81" s="1240" t="s">
        <v>787</v>
      </c>
      <c r="QB81" s="33" t="s">
        <v>1072</v>
      </c>
      <c r="QC81" s="7"/>
      <c r="QD81" s="7"/>
      <c r="QE81" s="1010">
        <f>SUM(QC52:QE52)</f>
        <v>0.99999999999999933</v>
      </c>
      <c r="QF81" s="7"/>
      <c r="QG81" s="7"/>
      <c r="QH81" s="1010">
        <f>SUM(QF52:QH52)</f>
        <v>0.99999999999999933</v>
      </c>
      <c r="QI81" s="7"/>
      <c r="QJ81" s="1010">
        <f>SUM(QI52:QJ52)</f>
        <v>0.99999999999999833</v>
      </c>
      <c r="QK81" s="7"/>
      <c r="QL81" s="1010">
        <f>SUM(QK52:QL52)</f>
        <v>0.99999999999999833</v>
      </c>
      <c r="QM81" s="7"/>
      <c r="QN81" s="1010">
        <f>SUM(QM52:QN52)</f>
        <v>0.99999999999999833</v>
      </c>
      <c r="QO81" s="7"/>
      <c r="QP81" s="1010">
        <f>SUM(QO52:QP52)</f>
        <v>0.99999999999999833</v>
      </c>
      <c r="QR81" s="7"/>
      <c r="QS81" s="7"/>
      <c r="QT81" s="7"/>
      <c r="QU81" s="7"/>
      <c r="QV81" s="7"/>
      <c r="QW81" s="7"/>
      <c r="QX81" s="7"/>
      <c r="QY81" s="7"/>
      <c r="QZ81" s="1010">
        <f>SUM(QR52:QZ52)</f>
        <v>1.0000000000000002</v>
      </c>
      <c r="RA81" s="7"/>
      <c r="SO81" s="1265"/>
    </row>
    <row r="82" spans="3:509" x14ac:dyDescent="0.25">
      <c r="C82" s="17" t="s">
        <v>100</v>
      </c>
      <c r="D82" s="207"/>
      <c r="E82" s="17"/>
      <c r="F82" s="7"/>
      <c r="G82" s="17"/>
      <c r="QB82" s="33" t="s">
        <v>1072</v>
      </c>
      <c r="QE82" s="1010">
        <f t="shared" ref="QE82:QE128" ca="1" si="476">SUM(QC53:QE53)</f>
        <v>1.0000000000000004</v>
      </c>
      <c r="QH82" s="1010">
        <f t="shared" ref="QH82:QH128" ca="1" si="477">SUM(QF53:QH53)</f>
        <v>1.0000000000000004</v>
      </c>
      <c r="QJ82" s="1010">
        <f t="shared" ref="QJ82:QJ128" ca="1" si="478">SUM(QI53:QJ53)</f>
        <v>1.0000000000000007</v>
      </c>
      <c r="QL82" s="1010">
        <f t="shared" ref="QL82:QL128" ca="1" si="479">SUM(QK53:QL53)</f>
        <v>1.0000000000000007</v>
      </c>
      <c r="QN82" s="1010">
        <f t="shared" ref="QN82:QN128" ca="1" si="480">SUM(QM53:QN53)</f>
        <v>1.0000000000000004</v>
      </c>
      <c r="QP82" s="1010">
        <f t="shared" ref="QP82:QP128" ca="1" si="481">SUM(QO53:QP53)</f>
        <v>1.0000000000000004</v>
      </c>
      <c r="QR82" s="7"/>
      <c r="QS82" s="7"/>
      <c r="QT82" s="7"/>
      <c r="QU82" s="7"/>
      <c r="QV82" s="7"/>
      <c r="QW82" s="7"/>
      <c r="QX82" s="7"/>
      <c r="QY82" s="7"/>
      <c r="QZ82" s="1010">
        <f t="shared" ref="QZ82:QZ128" ca="1" si="482">SUM(QR53:QZ53)</f>
        <v>1.0000000000000004</v>
      </c>
      <c r="RA82" s="7"/>
      <c r="SO82" s="1265"/>
    </row>
    <row r="83" spans="3:509" hidden="1" x14ac:dyDescent="0.25">
      <c r="G83" s="188"/>
      <c r="H83" s="188"/>
      <c r="S83" s="188"/>
      <c r="QB83" s="33" t="s">
        <v>1072</v>
      </c>
      <c r="QE83" s="1010">
        <f t="shared" ca="1" si="476"/>
        <v>0.99999999999999978</v>
      </c>
      <c r="QH83" s="1010">
        <f t="shared" ca="1" si="477"/>
        <v>0.99999999999999989</v>
      </c>
      <c r="QJ83" s="1010">
        <f t="shared" ca="1" si="478"/>
        <v>1</v>
      </c>
      <c r="QL83" s="1010">
        <f t="shared" ca="1" si="479"/>
        <v>1</v>
      </c>
      <c r="QN83" s="1010">
        <f t="shared" ca="1" si="480"/>
        <v>0.99999999999999978</v>
      </c>
      <c r="QP83" s="1010">
        <f t="shared" ca="1" si="481"/>
        <v>1</v>
      </c>
      <c r="QR83" s="7"/>
      <c r="QS83" s="7"/>
      <c r="QT83" s="7"/>
      <c r="QU83" s="7"/>
      <c r="QV83" s="7"/>
      <c r="QW83" s="7"/>
      <c r="QX83" s="7"/>
      <c r="QY83" s="7"/>
      <c r="QZ83" s="1010">
        <f t="shared" ca="1" si="482"/>
        <v>0.99999999999999978</v>
      </c>
      <c r="RA83" s="7"/>
      <c r="SO83" s="1265"/>
    </row>
    <row r="84" spans="3:509" hidden="1" x14ac:dyDescent="0.25">
      <c r="D84" s="33"/>
      <c r="E84" s="33" t="s">
        <v>503</v>
      </c>
      <c r="F84" s="188"/>
      <c r="G84" s="188"/>
      <c r="J84" s="33" t="s">
        <v>622</v>
      </c>
      <c r="O84" s="33" t="s">
        <v>637</v>
      </c>
      <c r="S84" s="188"/>
      <c r="QB84" s="33" t="s">
        <v>1072</v>
      </c>
      <c r="QE84" s="1010">
        <f t="shared" ca="1" si="476"/>
        <v>1.0000000000000002</v>
      </c>
      <c r="QH84" s="1010">
        <f t="shared" ca="1" si="477"/>
        <v>1.0000000000000004</v>
      </c>
      <c r="QJ84" s="1010">
        <f t="shared" ca="1" si="478"/>
        <v>1.0000000000000004</v>
      </c>
      <c r="QL84" s="1010">
        <f t="shared" ca="1" si="479"/>
        <v>1.0000000000000004</v>
      </c>
      <c r="QN84" s="1010">
        <f t="shared" ca="1" si="480"/>
        <v>1.0000000000000004</v>
      </c>
      <c r="QP84" s="1010">
        <f t="shared" ca="1" si="481"/>
        <v>1.0000000000000004</v>
      </c>
      <c r="QR84" s="7"/>
      <c r="QS84" s="7"/>
      <c r="QT84" s="7"/>
      <c r="QU84" s="7"/>
      <c r="QV84" s="7"/>
      <c r="QW84" s="7"/>
      <c r="QX84" s="7"/>
      <c r="QY84" s="7"/>
      <c r="QZ84" s="1010">
        <f t="shared" ca="1" si="482"/>
        <v>1.0000000000000004</v>
      </c>
      <c r="RA84" s="7"/>
      <c r="SO84" s="1265"/>
    </row>
    <row r="85" spans="3:509" hidden="1" x14ac:dyDescent="0.25">
      <c r="D85" s="33"/>
      <c r="E85" s="188" t="s">
        <v>623</v>
      </c>
      <c r="F85" s="33" t="s">
        <v>636</v>
      </c>
      <c r="G85" s="33" t="s">
        <v>638</v>
      </c>
      <c r="H85" s="33" t="s">
        <v>484</v>
      </c>
      <c r="J85" s="33" t="s">
        <v>623</v>
      </c>
      <c r="K85" s="33" t="s">
        <v>623</v>
      </c>
      <c r="L85" s="33" t="s">
        <v>172</v>
      </c>
      <c r="M85" s="188" t="s">
        <v>484</v>
      </c>
      <c r="O85" s="33" t="s">
        <v>625</v>
      </c>
      <c r="P85" s="33" t="s">
        <v>623</v>
      </c>
      <c r="Q85" s="33" t="s">
        <v>484</v>
      </c>
      <c r="V85" s="33" t="s">
        <v>642</v>
      </c>
      <c r="W85" s="33" t="s">
        <v>641</v>
      </c>
      <c r="QB85" s="33" t="s">
        <v>1072</v>
      </c>
      <c r="QE85" s="1010">
        <f t="shared" ca="1" si="476"/>
        <v>0.99999999999999956</v>
      </c>
      <c r="QH85" s="1010">
        <f t="shared" ca="1" si="477"/>
        <v>0.99999999999999967</v>
      </c>
      <c r="QJ85" s="1010">
        <f t="shared" ca="1" si="478"/>
        <v>0.99999999999999956</v>
      </c>
      <c r="QL85" s="1010">
        <f t="shared" ca="1" si="479"/>
        <v>0.99999999999999956</v>
      </c>
      <c r="QN85" s="1010">
        <f t="shared" ca="1" si="480"/>
        <v>0.99999999999999944</v>
      </c>
      <c r="QP85" s="1010">
        <f t="shared" ca="1" si="481"/>
        <v>0.99999999999999944</v>
      </c>
      <c r="QR85" s="7"/>
      <c r="QS85" s="7"/>
      <c r="QT85" s="7"/>
      <c r="QU85" s="7"/>
      <c r="QV85" s="7"/>
      <c r="QW85" s="7"/>
      <c r="QX85" s="7"/>
      <c r="QY85" s="7"/>
      <c r="QZ85" s="1010">
        <f t="shared" ca="1" si="482"/>
        <v>0.99999999999999956</v>
      </c>
      <c r="RA85" s="7"/>
      <c r="SO85" s="1265"/>
    </row>
    <row r="86" spans="3:509" hidden="1" x14ac:dyDescent="0.25">
      <c r="D86" s="33">
        <v>1</v>
      </c>
      <c r="E86" s="33">
        <v>0.61</v>
      </c>
      <c r="F86" s="1061">
        <f t="shared" ref="F86:F110" si="483">SUM(AG12,AI12)</f>
        <v>0</v>
      </c>
      <c r="G86" s="33">
        <v>0.01</v>
      </c>
      <c r="H86" s="1131">
        <f>((E86-F86)*100)^2 *G86</f>
        <v>37.21</v>
      </c>
      <c r="J86" s="33">
        <v>28</v>
      </c>
      <c r="K86" s="33">
        <f>(J86-2)/48</f>
        <v>0.54166666666666663</v>
      </c>
      <c r="L86" s="1061">
        <f t="shared" ref="L86:L110" si="484">AK12</f>
        <v>0</v>
      </c>
      <c r="M86" s="1131">
        <f>((K86-L86)*100)^2</f>
        <v>2934.0277777777774</v>
      </c>
      <c r="O86" s="1061">
        <f t="shared" ref="O86:O110" si="485">AO12-AN12</f>
        <v>0</v>
      </c>
      <c r="P86" s="33">
        <v>0.08</v>
      </c>
      <c r="Q86" s="1131">
        <f t="shared" ref="Q86:Q110" si="486">((O86-P86)*100)^2</f>
        <v>64</v>
      </c>
      <c r="V86" s="33" t="e">
        <f t="shared" ref="V86:V110" si="487">AF12/AJ12</f>
        <v>#DIV/0!</v>
      </c>
      <c r="W86" s="33" t="e">
        <f t="shared" ref="W86:W110" si="488">AH12/AK12</f>
        <v>#DIV/0!</v>
      </c>
      <c r="QB86" s="33" t="s">
        <v>1072</v>
      </c>
      <c r="QE86" s="1010">
        <f t="shared" ca="1" si="476"/>
        <v>1</v>
      </c>
      <c r="QH86" s="1010">
        <f t="shared" ca="1" si="477"/>
        <v>0.99999999999999956</v>
      </c>
      <c r="QJ86" s="1010">
        <f t="shared" ca="1" si="478"/>
        <v>0.99999999999999978</v>
      </c>
      <c r="QL86" s="1010">
        <f t="shared" ca="1" si="479"/>
        <v>0.99999999999999978</v>
      </c>
      <c r="QN86" s="1010">
        <f t="shared" ca="1" si="480"/>
        <v>0.99999999999999967</v>
      </c>
      <c r="QP86" s="1010">
        <f t="shared" ca="1" si="481"/>
        <v>0.99999999999999956</v>
      </c>
      <c r="QR86" s="7"/>
      <c r="QS86" s="7"/>
      <c r="QT86" s="7"/>
      <c r="QU86" s="7"/>
      <c r="QV86" s="7"/>
      <c r="QW86" s="7"/>
      <c r="QX86" s="7"/>
      <c r="QY86" s="7"/>
      <c r="QZ86" s="1010">
        <f t="shared" ca="1" si="482"/>
        <v>0.99999999999999956</v>
      </c>
      <c r="RA86" s="7"/>
      <c r="SO86" s="1265"/>
    </row>
    <row r="87" spans="3:509" hidden="1" x14ac:dyDescent="0.25">
      <c r="D87" s="33">
        <v>2</v>
      </c>
      <c r="E87" s="33">
        <v>0.56000000000000005</v>
      </c>
      <c r="F87" s="1061">
        <f t="shared" si="483"/>
        <v>0</v>
      </c>
      <c r="G87" s="33">
        <v>0.01</v>
      </c>
      <c r="H87" s="1131">
        <f t="shared" ref="H87:H110" si="489">((E87-F87)*100)^2 *G87</f>
        <v>31.36000000000001</v>
      </c>
      <c r="J87" s="33">
        <v>26.400000000000002</v>
      </c>
      <c r="K87" s="33" t="e">
        <f t="shared" ref="K87:K110" si="490">(J87-$C$7)/$C$10</f>
        <v>#VALUE!</v>
      </c>
      <c r="L87" s="1061">
        <f t="shared" si="484"/>
        <v>0</v>
      </c>
      <c r="M87" s="1131" t="e">
        <f t="shared" ref="M87:M110" si="491">((K87-L87)*100)^2</f>
        <v>#VALUE!</v>
      </c>
      <c r="O87" s="1061">
        <f t="shared" si="485"/>
        <v>0</v>
      </c>
      <c r="P87" s="33">
        <v>0.08</v>
      </c>
      <c r="Q87" s="1131">
        <f t="shared" si="486"/>
        <v>64</v>
      </c>
      <c r="V87" s="33" t="e">
        <f t="shared" si="487"/>
        <v>#DIV/0!</v>
      </c>
      <c r="W87" s="33" t="e">
        <f t="shared" si="488"/>
        <v>#DIV/0!</v>
      </c>
      <c r="QB87" s="33" t="s">
        <v>1072</v>
      </c>
      <c r="QE87" s="1010">
        <f t="shared" ca="1" si="476"/>
        <v>1.0000000000000002</v>
      </c>
      <c r="QH87" s="1010">
        <f t="shared" ca="1" si="477"/>
        <v>1.0000000000000004</v>
      </c>
      <c r="QJ87" s="1010">
        <f t="shared" ca="1" si="478"/>
        <v>1.0000000000000004</v>
      </c>
      <c r="QL87" s="1010">
        <f t="shared" ca="1" si="479"/>
        <v>1.0000000000000002</v>
      </c>
      <c r="QN87" s="1010">
        <f t="shared" ca="1" si="480"/>
        <v>1.0000000000000007</v>
      </c>
      <c r="QP87" s="1010">
        <f t="shared" ca="1" si="481"/>
        <v>1</v>
      </c>
      <c r="QR87" s="7"/>
      <c r="QS87" s="7"/>
      <c r="QT87" s="7"/>
      <c r="QU87" s="7"/>
      <c r="QV87" s="7"/>
      <c r="QW87" s="7"/>
      <c r="QX87" s="7"/>
      <c r="QY87" s="7"/>
      <c r="QZ87" s="1010">
        <f t="shared" ca="1" si="482"/>
        <v>1.0000000000000004</v>
      </c>
      <c r="RA87" s="7"/>
      <c r="SO87" s="1265"/>
    </row>
    <row r="88" spans="3:509" hidden="1" x14ac:dyDescent="0.25">
      <c r="D88" s="33">
        <v>3</v>
      </c>
      <c r="E88" s="33">
        <v>0.61</v>
      </c>
      <c r="F88" s="1061">
        <f t="shared" si="483"/>
        <v>0</v>
      </c>
      <c r="G88" s="33">
        <v>0.1</v>
      </c>
      <c r="H88" s="1131">
        <f t="shared" si="489"/>
        <v>372.1</v>
      </c>
      <c r="J88" s="33">
        <v>24.288000000000004</v>
      </c>
      <c r="K88" s="33" t="e">
        <f t="shared" si="490"/>
        <v>#VALUE!</v>
      </c>
      <c r="L88" s="1061">
        <f t="shared" si="484"/>
        <v>0</v>
      </c>
      <c r="M88" s="1131" t="e">
        <f t="shared" si="491"/>
        <v>#VALUE!</v>
      </c>
      <c r="O88" s="1061">
        <f t="shared" si="485"/>
        <v>0</v>
      </c>
      <c r="P88" s="33">
        <v>0.08</v>
      </c>
      <c r="Q88" s="1131">
        <f t="shared" si="486"/>
        <v>64</v>
      </c>
      <c r="V88" s="33" t="e">
        <f t="shared" si="487"/>
        <v>#DIV/0!</v>
      </c>
      <c r="W88" s="33" t="e">
        <f t="shared" si="488"/>
        <v>#DIV/0!</v>
      </c>
      <c r="QB88" s="33" t="s">
        <v>1072</v>
      </c>
      <c r="QE88" s="1010">
        <f t="shared" si="476"/>
        <v>1.0000000000000002</v>
      </c>
      <c r="QH88" s="1010">
        <f t="shared" si="477"/>
        <v>1</v>
      </c>
      <c r="QJ88" s="1010">
        <f t="shared" si="478"/>
        <v>1.0000000000000002</v>
      </c>
      <c r="QL88" s="1010">
        <f t="shared" si="479"/>
        <v>1</v>
      </c>
      <c r="QN88" s="1010">
        <f t="shared" si="480"/>
        <v>1</v>
      </c>
      <c r="QP88" s="1010">
        <f t="shared" si="481"/>
        <v>1</v>
      </c>
      <c r="QR88" s="7"/>
      <c r="QS88" s="7"/>
      <c r="QT88" s="7"/>
      <c r="QU88" s="7"/>
      <c r="QV88" s="7"/>
      <c r="QW88" s="7"/>
      <c r="QX88" s="7"/>
      <c r="QY88" s="7"/>
      <c r="QZ88" s="1010">
        <f t="shared" si="482"/>
        <v>1</v>
      </c>
      <c r="RA88" s="7"/>
      <c r="SO88" s="1265"/>
    </row>
    <row r="89" spans="3:509" hidden="1" x14ac:dyDescent="0.25">
      <c r="D89" s="33">
        <v>4</v>
      </c>
      <c r="E89" s="33">
        <v>0.72</v>
      </c>
      <c r="F89" s="1061">
        <f t="shared" si="483"/>
        <v>0</v>
      </c>
      <c r="G89" s="33">
        <v>0.1</v>
      </c>
      <c r="H89" s="1131">
        <f t="shared" si="489"/>
        <v>518.4</v>
      </c>
      <c r="J89" s="33">
        <v>23.073600000000003</v>
      </c>
      <c r="K89" s="33" t="e">
        <f t="shared" si="490"/>
        <v>#VALUE!</v>
      </c>
      <c r="L89" s="1061">
        <f t="shared" si="484"/>
        <v>0</v>
      </c>
      <c r="M89" s="1131" t="e">
        <f t="shared" si="491"/>
        <v>#VALUE!</v>
      </c>
      <c r="O89" s="1061">
        <f t="shared" si="485"/>
        <v>0</v>
      </c>
      <c r="P89" s="33">
        <v>0.08</v>
      </c>
      <c r="Q89" s="1131">
        <f t="shared" si="486"/>
        <v>64</v>
      </c>
      <c r="V89" s="33" t="e">
        <f t="shared" si="487"/>
        <v>#DIV/0!</v>
      </c>
      <c r="W89" s="33" t="e">
        <f t="shared" si="488"/>
        <v>#DIV/0!</v>
      </c>
      <c r="QB89" s="33" t="s">
        <v>1072</v>
      </c>
      <c r="QE89" s="1010">
        <f t="shared" si="476"/>
        <v>1</v>
      </c>
      <c r="QH89" s="1010">
        <f t="shared" si="477"/>
        <v>1</v>
      </c>
      <c r="QJ89" s="1010">
        <f t="shared" si="478"/>
        <v>1</v>
      </c>
      <c r="QL89" s="1010">
        <f t="shared" si="479"/>
        <v>1</v>
      </c>
      <c r="QN89" s="1010">
        <f t="shared" si="480"/>
        <v>1</v>
      </c>
      <c r="QP89" s="1010">
        <f t="shared" si="481"/>
        <v>1</v>
      </c>
      <c r="QR89" s="7"/>
      <c r="QS89" s="7"/>
      <c r="QT89" s="7"/>
      <c r="QU89" s="7"/>
      <c r="QV89" s="7"/>
      <c r="QW89" s="7"/>
      <c r="QX89" s="7"/>
      <c r="QY89" s="7"/>
      <c r="QZ89" s="1010">
        <f t="shared" si="482"/>
        <v>1</v>
      </c>
      <c r="RA89" s="7"/>
      <c r="SO89" s="1265"/>
    </row>
    <row r="90" spans="3:509" hidden="1" x14ac:dyDescent="0.25">
      <c r="D90" s="33">
        <v>5</v>
      </c>
      <c r="E90" s="33">
        <v>0.63</v>
      </c>
      <c r="F90" s="1061">
        <f t="shared" si="483"/>
        <v>0</v>
      </c>
      <c r="G90" s="33">
        <v>0.01</v>
      </c>
      <c r="H90" s="1131">
        <f t="shared" si="489"/>
        <v>39.69</v>
      </c>
      <c r="J90" s="33">
        <v>19.843296000000002</v>
      </c>
      <c r="K90" s="33" t="e">
        <f t="shared" si="490"/>
        <v>#VALUE!</v>
      </c>
      <c r="L90" s="1061">
        <f t="shared" si="484"/>
        <v>0</v>
      </c>
      <c r="M90" s="1131" t="e">
        <f t="shared" si="491"/>
        <v>#VALUE!</v>
      </c>
      <c r="O90" s="1061">
        <f t="shared" si="485"/>
        <v>0</v>
      </c>
      <c r="P90" s="33">
        <v>0.08</v>
      </c>
      <c r="Q90" s="1131">
        <f t="shared" si="486"/>
        <v>64</v>
      </c>
      <c r="V90" s="33" t="e">
        <f t="shared" si="487"/>
        <v>#DIV/0!</v>
      </c>
      <c r="W90" s="33" t="e">
        <f t="shared" si="488"/>
        <v>#DIV/0!</v>
      </c>
      <c r="QB90" s="33" t="s">
        <v>1072</v>
      </c>
      <c r="QE90" s="1010">
        <f t="shared" ca="1" si="476"/>
        <v>1.0000000000000004</v>
      </c>
      <c r="QH90" s="1010">
        <f t="shared" ca="1" si="477"/>
        <v>1.0000000000000004</v>
      </c>
      <c r="QJ90" s="1010">
        <f t="shared" ca="1" si="478"/>
        <v>1.0000000000000004</v>
      </c>
      <c r="QL90" s="1010">
        <f t="shared" ca="1" si="479"/>
        <v>1.0000000000000002</v>
      </c>
      <c r="QN90" s="1010">
        <f t="shared" ca="1" si="480"/>
        <v>1.0000000000000007</v>
      </c>
      <c r="QP90" s="1010">
        <f t="shared" ca="1" si="481"/>
        <v>1.0000000000000004</v>
      </c>
      <c r="QR90" s="7"/>
      <c r="QS90" s="7"/>
      <c r="QT90" s="7"/>
      <c r="QU90" s="7"/>
      <c r="QV90" s="7"/>
      <c r="QW90" s="7"/>
      <c r="QX90" s="7"/>
      <c r="QY90" s="7"/>
      <c r="QZ90" s="1010">
        <f t="shared" ca="1" si="482"/>
        <v>1.0000000000000004</v>
      </c>
      <c r="RA90" s="7"/>
      <c r="SO90" s="1265"/>
    </row>
    <row r="91" spans="3:509" hidden="1" x14ac:dyDescent="0.25">
      <c r="D91" s="33">
        <v>6</v>
      </c>
      <c r="E91" s="33">
        <v>0.72</v>
      </c>
      <c r="F91" s="1061">
        <f t="shared" si="483"/>
        <v>0</v>
      </c>
      <c r="G91" s="33">
        <v>0.01</v>
      </c>
      <c r="H91" s="1131">
        <f t="shared" si="489"/>
        <v>51.84</v>
      </c>
      <c r="J91" s="33">
        <v>17.660533440000002</v>
      </c>
      <c r="K91" s="33" t="e">
        <f t="shared" si="490"/>
        <v>#VALUE!</v>
      </c>
      <c r="L91" s="1061">
        <f t="shared" si="484"/>
        <v>0</v>
      </c>
      <c r="M91" s="1131" t="e">
        <f t="shared" si="491"/>
        <v>#VALUE!</v>
      </c>
      <c r="O91" s="1061">
        <f t="shared" si="485"/>
        <v>0</v>
      </c>
      <c r="P91" s="33">
        <v>0.08</v>
      </c>
      <c r="Q91" s="1131">
        <f t="shared" si="486"/>
        <v>64</v>
      </c>
      <c r="V91" s="33" t="e">
        <f t="shared" si="487"/>
        <v>#DIV/0!</v>
      </c>
      <c r="W91" s="33" t="e">
        <f t="shared" si="488"/>
        <v>#DIV/0!</v>
      </c>
      <c r="QB91" s="33" t="s">
        <v>1072</v>
      </c>
      <c r="QE91" s="1010">
        <f t="shared" ca="1" si="476"/>
        <v>1</v>
      </c>
      <c r="QH91" s="1010">
        <f t="shared" ca="1" si="477"/>
        <v>0.99999999999999989</v>
      </c>
      <c r="QJ91" s="1010">
        <f t="shared" ca="1" si="478"/>
        <v>0.99999999999999989</v>
      </c>
      <c r="QL91" s="1010">
        <f t="shared" ca="1" si="479"/>
        <v>0.99999999999999989</v>
      </c>
      <c r="QN91" s="1010">
        <f t="shared" ca="1" si="480"/>
        <v>1</v>
      </c>
      <c r="QP91" s="1010">
        <f t="shared" ca="1" si="481"/>
        <v>0.99999999999999967</v>
      </c>
      <c r="QR91" s="7"/>
      <c r="QS91" s="7"/>
      <c r="QT91" s="7"/>
      <c r="QU91" s="7"/>
      <c r="QV91" s="7"/>
      <c r="QW91" s="7"/>
      <c r="QX91" s="7"/>
      <c r="QY91" s="7"/>
      <c r="QZ91" s="1010">
        <f t="shared" ca="1" si="482"/>
        <v>0.99999999999999978</v>
      </c>
      <c r="RA91" s="7"/>
      <c r="SO91" s="1265"/>
    </row>
    <row r="92" spans="3:509" hidden="1" x14ac:dyDescent="0.25">
      <c r="D92" s="33">
        <v>7</v>
      </c>
      <c r="E92" s="33">
        <v>0.74</v>
      </c>
      <c r="F92" s="1061">
        <f t="shared" si="483"/>
        <v>0</v>
      </c>
      <c r="G92" s="33">
        <v>0.01</v>
      </c>
      <c r="H92" s="1131">
        <f t="shared" si="489"/>
        <v>54.76</v>
      </c>
      <c r="J92" s="33">
        <v>15.894480096000002</v>
      </c>
      <c r="K92" s="33" t="e">
        <f t="shared" si="490"/>
        <v>#VALUE!</v>
      </c>
      <c r="L92" s="1061">
        <f t="shared" si="484"/>
        <v>0</v>
      </c>
      <c r="M92" s="1131" t="e">
        <f t="shared" si="491"/>
        <v>#VALUE!</v>
      </c>
      <c r="O92" s="1061">
        <f t="shared" si="485"/>
        <v>0</v>
      </c>
      <c r="P92" s="33">
        <v>0.08</v>
      </c>
      <c r="Q92" s="1131">
        <f t="shared" si="486"/>
        <v>64</v>
      </c>
      <c r="V92" s="33" t="e">
        <f t="shared" si="487"/>
        <v>#DIV/0!</v>
      </c>
      <c r="W92" s="33" t="e">
        <f t="shared" si="488"/>
        <v>#DIV/0!</v>
      </c>
      <c r="QB92" s="33" t="s">
        <v>1072</v>
      </c>
      <c r="QE92" s="1010">
        <f t="shared" si="476"/>
        <v>0.99999999999999933</v>
      </c>
      <c r="QH92" s="1010">
        <f t="shared" si="477"/>
        <v>0.99999999999999933</v>
      </c>
      <c r="QJ92" s="1010">
        <f t="shared" si="478"/>
        <v>0.99999999999999833</v>
      </c>
      <c r="QL92" s="1010">
        <f t="shared" si="479"/>
        <v>0.99999999999999833</v>
      </c>
      <c r="QN92" s="1010">
        <f t="shared" si="480"/>
        <v>0.99999999999999833</v>
      </c>
      <c r="QP92" s="1010">
        <f t="shared" si="481"/>
        <v>0.99999999999999833</v>
      </c>
      <c r="QR92" s="7"/>
      <c r="QS92" s="7"/>
      <c r="QT92" s="7"/>
      <c r="QU92" s="7"/>
      <c r="QV92" s="7"/>
      <c r="QW92" s="7"/>
      <c r="QX92" s="7"/>
      <c r="QY92" s="7"/>
      <c r="QZ92" s="1010">
        <f t="shared" si="482"/>
        <v>1.0000000000000002</v>
      </c>
      <c r="RA92" s="7"/>
      <c r="SO92" s="1265"/>
    </row>
    <row r="93" spans="3:509" hidden="1" x14ac:dyDescent="0.25">
      <c r="D93" s="33">
        <v>8</v>
      </c>
      <c r="E93" s="33">
        <v>0.73</v>
      </c>
      <c r="F93" s="1061">
        <f t="shared" si="483"/>
        <v>0</v>
      </c>
      <c r="G93" s="33">
        <v>0.01</v>
      </c>
      <c r="H93" s="1131">
        <f t="shared" si="489"/>
        <v>53.29</v>
      </c>
      <c r="J93" s="33">
        <v>16.530259299840004</v>
      </c>
      <c r="K93" s="33" t="e">
        <f t="shared" si="490"/>
        <v>#VALUE!</v>
      </c>
      <c r="L93" s="1061">
        <f t="shared" si="484"/>
        <v>0</v>
      </c>
      <c r="M93" s="1131" t="e">
        <f t="shared" si="491"/>
        <v>#VALUE!</v>
      </c>
      <c r="O93" s="1061">
        <f t="shared" si="485"/>
        <v>0</v>
      </c>
      <c r="P93" s="33">
        <v>0.08</v>
      </c>
      <c r="Q93" s="1131">
        <f t="shared" si="486"/>
        <v>64</v>
      </c>
      <c r="V93" s="33" t="e">
        <f t="shared" si="487"/>
        <v>#DIV/0!</v>
      </c>
      <c r="W93" s="33" t="e">
        <f t="shared" si="488"/>
        <v>#DIV/0!</v>
      </c>
      <c r="QB93" s="33" t="s">
        <v>1072</v>
      </c>
      <c r="QE93" s="1010">
        <f t="shared" si="476"/>
        <v>0.99999999999999933</v>
      </c>
      <c r="QH93" s="1010">
        <f t="shared" si="477"/>
        <v>0.99999999999999933</v>
      </c>
      <c r="QJ93" s="1010">
        <f t="shared" si="478"/>
        <v>0.99999999999999833</v>
      </c>
      <c r="QL93" s="1010">
        <f t="shared" si="479"/>
        <v>0.99999999999999833</v>
      </c>
      <c r="QN93" s="1010">
        <f t="shared" si="480"/>
        <v>0.99999999999999833</v>
      </c>
      <c r="QP93" s="1010">
        <f t="shared" si="481"/>
        <v>0.99999999999999833</v>
      </c>
      <c r="QR93" s="7"/>
      <c r="QS93" s="7"/>
      <c r="QT93" s="7"/>
      <c r="QU93" s="7"/>
      <c r="QV93" s="7"/>
      <c r="QW93" s="7"/>
      <c r="QX93" s="7"/>
      <c r="QY93" s="7"/>
      <c r="QZ93" s="1010">
        <f t="shared" si="482"/>
        <v>1.0000000000000002</v>
      </c>
      <c r="RA93" s="7"/>
      <c r="SO93" s="1265"/>
    </row>
    <row r="94" spans="3:509" hidden="1" x14ac:dyDescent="0.25">
      <c r="D94" s="33">
        <v>9</v>
      </c>
      <c r="E94" s="33">
        <v>0.72</v>
      </c>
      <c r="F94" s="1061">
        <f t="shared" si="483"/>
        <v>0</v>
      </c>
      <c r="G94" s="33">
        <v>0.01</v>
      </c>
      <c r="H94" s="1131">
        <f t="shared" si="489"/>
        <v>51.84</v>
      </c>
      <c r="J94" s="33">
        <v>16.695561892838406</v>
      </c>
      <c r="K94" s="33" t="e">
        <f t="shared" si="490"/>
        <v>#VALUE!</v>
      </c>
      <c r="L94" s="1061">
        <f t="shared" si="484"/>
        <v>0</v>
      </c>
      <c r="M94" s="1131" t="e">
        <f t="shared" si="491"/>
        <v>#VALUE!</v>
      </c>
      <c r="O94" s="1061">
        <f t="shared" si="485"/>
        <v>0</v>
      </c>
      <c r="P94" s="33">
        <v>0.08</v>
      </c>
      <c r="Q94" s="1131">
        <f t="shared" si="486"/>
        <v>64</v>
      </c>
      <c r="V94" s="33" t="e">
        <f t="shared" si="487"/>
        <v>#DIV/0!</v>
      </c>
      <c r="W94" s="33" t="e">
        <f t="shared" si="488"/>
        <v>#DIV/0!</v>
      </c>
      <c r="QB94" s="33" t="s">
        <v>1072</v>
      </c>
      <c r="QE94" s="1010">
        <f t="shared" si="476"/>
        <v>0.99999999999999933</v>
      </c>
      <c r="QH94" s="1010">
        <f t="shared" si="477"/>
        <v>0.99999999999999933</v>
      </c>
      <c r="QJ94" s="1010">
        <f t="shared" si="478"/>
        <v>0.99999999999999833</v>
      </c>
      <c r="QL94" s="1010">
        <f t="shared" si="479"/>
        <v>0.99999999999999833</v>
      </c>
      <c r="QN94" s="1010">
        <f t="shared" si="480"/>
        <v>0.99999999999999833</v>
      </c>
      <c r="QP94" s="1010">
        <f t="shared" si="481"/>
        <v>0.99999999999999833</v>
      </c>
      <c r="QR94" s="7"/>
      <c r="QS94" s="7"/>
      <c r="QT94" s="7"/>
      <c r="QU94" s="7"/>
      <c r="QV94" s="7"/>
      <c r="QW94" s="7"/>
      <c r="QX94" s="7"/>
      <c r="QY94" s="7"/>
      <c r="QZ94" s="1010">
        <f t="shared" si="482"/>
        <v>1.0000000000000002</v>
      </c>
      <c r="RA94" s="7"/>
      <c r="SO94" s="1265"/>
    </row>
    <row r="95" spans="3:509" hidden="1" x14ac:dyDescent="0.25">
      <c r="D95" s="33">
        <v>10</v>
      </c>
      <c r="E95" s="33">
        <v>0.76</v>
      </c>
      <c r="F95" s="1061">
        <f t="shared" si="483"/>
        <v>0</v>
      </c>
      <c r="G95" s="33">
        <v>0.1</v>
      </c>
      <c r="H95" s="1131">
        <f t="shared" si="489"/>
        <v>577.6</v>
      </c>
      <c r="J95" s="33">
        <v>17.5</v>
      </c>
      <c r="K95" s="33" t="e">
        <f t="shared" si="490"/>
        <v>#VALUE!</v>
      </c>
      <c r="L95" s="1061">
        <f t="shared" si="484"/>
        <v>0</v>
      </c>
      <c r="M95" s="1131" t="e">
        <f t="shared" si="491"/>
        <v>#VALUE!</v>
      </c>
      <c r="O95" s="1061">
        <f t="shared" si="485"/>
        <v>0</v>
      </c>
      <c r="P95" s="33">
        <v>0.08</v>
      </c>
      <c r="Q95" s="1131">
        <f t="shared" si="486"/>
        <v>64</v>
      </c>
      <c r="V95" s="33" t="e">
        <f t="shared" si="487"/>
        <v>#DIV/0!</v>
      </c>
      <c r="W95" s="33" t="e">
        <f t="shared" si="488"/>
        <v>#DIV/0!</v>
      </c>
      <c r="QB95" s="33" t="s">
        <v>1072</v>
      </c>
      <c r="QE95" s="1010">
        <f t="shared" si="476"/>
        <v>0.99999999999999933</v>
      </c>
      <c r="QH95" s="1010">
        <f t="shared" si="477"/>
        <v>0.99999999999999933</v>
      </c>
      <c r="QJ95" s="1010">
        <f t="shared" si="478"/>
        <v>0.99999999999999833</v>
      </c>
      <c r="QL95" s="1010">
        <f t="shared" si="479"/>
        <v>0.99999999999999833</v>
      </c>
      <c r="QN95" s="1010">
        <f t="shared" si="480"/>
        <v>0.99999999999999833</v>
      </c>
      <c r="QP95" s="1010">
        <f t="shared" si="481"/>
        <v>0.99999999999999833</v>
      </c>
      <c r="QR95" s="7"/>
      <c r="QS95" s="7"/>
      <c r="QT95" s="7"/>
      <c r="QU95" s="7"/>
      <c r="QV95" s="7"/>
      <c r="QW95" s="7"/>
      <c r="QX95" s="7"/>
      <c r="QY95" s="7"/>
      <c r="QZ95" s="1010">
        <f t="shared" si="482"/>
        <v>1.0000000000000002</v>
      </c>
      <c r="RA95" s="7"/>
      <c r="SO95" s="1265"/>
    </row>
    <row r="96" spans="3:509" hidden="1" x14ac:dyDescent="0.25">
      <c r="D96" s="33">
        <v>11</v>
      </c>
      <c r="E96" s="33">
        <v>0.28000000000000003</v>
      </c>
      <c r="F96" s="1061">
        <f t="shared" si="483"/>
        <v>0</v>
      </c>
      <c r="G96" s="33">
        <v>1</v>
      </c>
      <c r="H96" s="1131">
        <f t="shared" si="489"/>
        <v>784.00000000000023</v>
      </c>
      <c r="J96" s="33">
        <v>12</v>
      </c>
      <c r="K96" s="33" t="e">
        <f t="shared" si="490"/>
        <v>#VALUE!</v>
      </c>
      <c r="L96" s="1061">
        <f t="shared" si="484"/>
        <v>0</v>
      </c>
      <c r="M96" s="1131" t="e">
        <f t="shared" si="491"/>
        <v>#VALUE!</v>
      </c>
      <c r="O96" s="1061">
        <f t="shared" si="485"/>
        <v>0</v>
      </c>
      <c r="P96" s="33">
        <v>0.12</v>
      </c>
      <c r="Q96" s="1131">
        <f t="shared" si="486"/>
        <v>144</v>
      </c>
      <c r="V96" s="33" t="e">
        <f t="shared" si="487"/>
        <v>#DIV/0!</v>
      </c>
      <c r="W96" s="33" t="e">
        <f t="shared" si="488"/>
        <v>#DIV/0!</v>
      </c>
      <c r="QB96" s="33" t="s">
        <v>1072</v>
      </c>
      <c r="QE96" s="1010">
        <f t="shared" si="476"/>
        <v>0.99999999999999933</v>
      </c>
      <c r="QH96" s="1010">
        <f t="shared" si="477"/>
        <v>0.99999999999999933</v>
      </c>
      <c r="QJ96" s="1010">
        <f t="shared" si="478"/>
        <v>0.99999999999999833</v>
      </c>
      <c r="QL96" s="1010">
        <f t="shared" si="479"/>
        <v>0.99999999999999833</v>
      </c>
      <c r="QN96" s="1010">
        <f t="shared" si="480"/>
        <v>0.99999999999999833</v>
      </c>
      <c r="QP96" s="1010">
        <f t="shared" si="481"/>
        <v>0.99999999999999833</v>
      </c>
      <c r="QR96" s="7"/>
      <c r="QS96" s="7"/>
      <c r="QT96" s="7"/>
      <c r="QU96" s="7"/>
      <c r="QV96" s="7"/>
      <c r="QW96" s="7"/>
      <c r="QX96" s="7"/>
      <c r="QY96" s="7"/>
      <c r="QZ96" s="1010">
        <f t="shared" si="482"/>
        <v>1.0000000000000002</v>
      </c>
      <c r="RA96" s="7"/>
      <c r="SO96" s="1265"/>
    </row>
    <row r="97" spans="4:509" hidden="1" x14ac:dyDescent="0.25">
      <c r="D97" s="33">
        <v>12</v>
      </c>
      <c r="E97" s="33">
        <v>0.28999999999999998</v>
      </c>
      <c r="F97" s="1061">
        <f t="shared" si="483"/>
        <v>0</v>
      </c>
      <c r="G97" s="33">
        <v>1</v>
      </c>
      <c r="H97" s="1131">
        <f t="shared" si="489"/>
        <v>840.99999999999977</v>
      </c>
      <c r="J97" s="33">
        <v>11.5</v>
      </c>
      <c r="K97" s="33" t="e">
        <f t="shared" si="490"/>
        <v>#VALUE!</v>
      </c>
      <c r="L97" s="1061">
        <f t="shared" si="484"/>
        <v>0</v>
      </c>
      <c r="M97" s="1131" t="e">
        <f t="shared" si="491"/>
        <v>#VALUE!</v>
      </c>
      <c r="O97" s="1061">
        <f t="shared" si="485"/>
        <v>0</v>
      </c>
      <c r="P97" s="33">
        <v>0.12</v>
      </c>
      <c r="Q97" s="1131">
        <f t="shared" si="486"/>
        <v>144</v>
      </c>
      <c r="V97" s="33" t="e">
        <f t="shared" si="487"/>
        <v>#DIV/0!</v>
      </c>
      <c r="W97" s="33" t="e">
        <f t="shared" si="488"/>
        <v>#DIV/0!</v>
      </c>
      <c r="QB97" s="33" t="s">
        <v>1072</v>
      </c>
      <c r="QE97" s="1010">
        <f t="shared" si="476"/>
        <v>0.99999999999999933</v>
      </c>
      <c r="QH97" s="1010">
        <f t="shared" si="477"/>
        <v>0.99999999999999933</v>
      </c>
      <c r="QJ97" s="1010">
        <f t="shared" si="478"/>
        <v>0.99999999999999833</v>
      </c>
      <c r="QL97" s="1010">
        <f t="shared" si="479"/>
        <v>0.99999999999999833</v>
      </c>
      <c r="QN97" s="1010">
        <f t="shared" si="480"/>
        <v>0.99999999999999833</v>
      </c>
      <c r="QP97" s="1010">
        <f t="shared" si="481"/>
        <v>0.99999999999999833</v>
      </c>
      <c r="QR97" s="7"/>
      <c r="QS97" s="7"/>
      <c r="QT97" s="7"/>
      <c r="QU97" s="7"/>
      <c r="QV97" s="7"/>
      <c r="QW97" s="7"/>
      <c r="QX97" s="7"/>
      <c r="QY97" s="7"/>
      <c r="QZ97" s="1010">
        <f t="shared" si="482"/>
        <v>1.0000000000000002</v>
      </c>
      <c r="RA97" s="7"/>
      <c r="SO97" s="1265"/>
    </row>
    <row r="98" spans="4:509" hidden="1" x14ac:dyDescent="0.25">
      <c r="D98" s="33">
        <v>13</v>
      </c>
      <c r="E98" s="33">
        <v>0.31</v>
      </c>
      <c r="F98" s="1061">
        <f t="shared" si="483"/>
        <v>0</v>
      </c>
      <c r="G98" s="33">
        <v>1</v>
      </c>
      <c r="H98" s="1131">
        <f t="shared" si="489"/>
        <v>961</v>
      </c>
      <c r="J98" s="33">
        <v>12.3</v>
      </c>
      <c r="K98" s="33" t="e">
        <f t="shared" si="490"/>
        <v>#VALUE!</v>
      </c>
      <c r="L98" s="1061">
        <f t="shared" si="484"/>
        <v>0</v>
      </c>
      <c r="M98" s="1131" t="e">
        <f t="shared" si="491"/>
        <v>#VALUE!</v>
      </c>
      <c r="O98" s="1061">
        <f t="shared" si="485"/>
        <v>0</v>
      </c>
      <c r="P98" s="33">
        <v>0.12</v>
      </c>
      <c r="Q98" s="1131">
        <f t="shared" si="486"/>
        <v>144</v>
      </c>
      <c r="V98" s="33" t="e">
        <f t="shared" si="487"/>
        <v>#DIV/0!</v>
      </c>
      <c r="W98" s="33" t="e">
        <f t="shared" si="488"/>
        <v>#DIV/0!</v>
      </c>
      <c r="QB98" s="33" t="s">
        <v>1072</v>
      </c>
      <c r="QE98" s="1010">
        <f t="shared" si="476"/>
        <v>0.99999999999999933</v>
      </c>
      <c r="QH98" s="1010">
        <f t="shared" si="477"/>
        <v>0.99999999999999933</v>
      </c>
      <c r="QJ98" s="1010">
        <f t="shared" si="478"/>
        <v>0.99999999999999833</v>
      </c>
      <c r="QL98" s="1010">
        <f t="shared" si="479"/>
        <v>0.99999999999999833</v>
      </c>
      <c r="QN98" s="1010">
        <f t="shared" si="480"/>
        <v>0.99999999999999833</v>
      </c>
      <c r="QP98" s="1010">
        <f t="shared" si="481"/>
        <v>0.99999999999999833</v>
      </c>
      <c r="QR98" s="7"/>
      <c r="QS98" s="7"/>
      <c r="QT98" s="7"/>
      <c r="QU98" s="7"/>
      <c r="QV98" s="7"/>
      <c r="QW98" s="7"/>
      <c r="QX98" s="7"/>
      <c r="QY98" s="7"/>
      <c r="QZ98" s="1010">
        <f t="shared" si="482"/>
        <v>1.0000000000000002</v>
      </c>
      <c r="RA98" s="7"/>
      <c r="SO98" s="1265"/>
    </row>
    <row r="99" spans="4:509" hidden="1" x14ac:dyDescent="0.25">
      <c r="D99" s="33">
        <v>14</v>
      </c>
      <c r="E99" s="33">
        <v>0.27</v>
      </c>
      <c r="F99" s="1061">
        <f t="shared" si="483"/>
        <v>0</v>
      </c>
      <c r="G99" s="33">
        <v>1</v>
      </c>
      <c r="H99" s="1131">
        <f t="shared" si="489"/>
        <v>729</v>
      </c>
      <c r="J99" s="33">
        <v>14.8</v>
      </c>
      <c r="K99" s="33" t="e">
        <f t="shared" si="490"/>
        <v>#VALUE!</v>
      </c>
      <c r="L99" s="1061">
        <f t="shared" si="484"/>
        <v>0</v>
      </c>
      <c r="M99" s="1131" t="e">
        <f t="shared" si="491"/>
        <v>#VALUE!</v>
      </c>
      <c r="O99" s="1061">
        <f t="shared" si="485"/>
        <v>0</v>
      </c>
      <c r="P99" s="33">
        <v>0.12</v>
      </c>
      <c r="Q99" s="1131">
        <f t="shared" si="486"/>
        <v>144</v>
      </c>
      <c r="V99" s="33" t="e">
        <f t="shared" si="487"/>
        <v>#DIV/0!</v>
      </c>
      <c r="W99" s="33" t="e">
        <f t="shared" si="488"/>
        <v>#DIV/0!</v>
      </c>
      <c r="QB99" s="33" t="s">
        <v>1072</v>
      </c>
      <c r="QE99" s="1010">
        <f t="shared" si="476"/>
        <v>0.99999999999999933</v>
      </c>
      <c r="QH99" s="1010">
        <f t="shared" si="477"/>
        <v>0.99999999999999933</v>
      </c>
      <c r="QJ99" s="1010">
        <f t="shared" si="478"/>
        <v>0.99999999999999833</v>
      </c>
      <c r="QL99" s="1010">
        <f t="shared" si="479"/>
        <v>0.99999999999999833</v>
      </c>
      <c r="QN99" s="1010">
        <f t="shared" si="480"/>
        <v>0.99999999999999833</v>
      </c>
      <c r="QP99" s="1010">
        <f t="shared" si="481"/>
        <v>0.99999999999999833</v>
      </c>
      <c r="QR99" s="7"/>
      <c r="QS99" s="7"/>
      <c r="QT99" s="7"/>
      <c r="QU99" s="7"/>
      <c r="QV99" s="7"/>
      <c r="QW99" s="7"/>
      <c r="QX99" s="7"/>
      <c r="QY99" s="7"/>
      <c r="QZ99" s="1010">
        <f t="shared" si="482"/>
        <v>1.0000000000000002</v>
      </c>
      <c r="RA99" s="7"/>
      <c r="SO99" s="1265"/>
    </row>
    <row r="100" spans="4:509" hidden="1" x14ac:dyDescent="0.25">
      <c r="D100" s="33">
        <v>15</v>
      </c>
      <c r="E100" s="33">
        <v>0.23</v>
      </c>
      <c r="F100" s="1061">
        <f t="shared" si="483"/>
        <v>0</v>
      </c>
      <c r="G100" s="33">
        <v>1</v>
      </c>
      <c r="H100" s="1131">
        <f t="shared" si="489"/>
        <v>529</v>
      </c>
      <c r="J100" s="33">
        <v>17.3</v>
      </c>
      <c r="K100" s="33" t="e">
        <f t="shared" si="490"/>
        <v>#VALUE!</v>
      </c>
      <c r="L100" s="1061">
        <f t="shared" si="484"/>
        <v>0</v>
      </c>
      <c r="M100" s="1131" t="e">
        <f t="shared" si="491"/>
        <v>#VALUE!</v>
      </c>
      <c r="O100" s="1061">
        <f t="shared" si="485"/>
        <v>0</v>
      </c>
      <c r="P100" s="33">
        <v>0.12</v>
      </c>
      <c r="Q100" s="1131">
        <f t="shared" si="486"/>
        <v>144</v>
      </c>
      <c r="V100" s="33" t="e">
        <f t="shared" si="487"/>
        <v>#DIV/0!</v>
      </c>
      <c r="W100" s="33" t="e">
        <f t="shared" si="488"/>
        <v>#DIV/0!</v>
      </c>
      <c r="QB100" s="33" t="s">
        <v>1072</v>
      </c>
      <c r="QE100" s="1010">
        <f t="shared" si="476"/>
        <v>0.99999999999999933</v>
      </c>
      <c r="QH100" s="1010">
        <f t="shared" si="477"/>
        <v>0.99999999999999933</v>
      </c>
      <c r="QJ100" s="1010">
        <f t="shared" si="478"/>
        <v>0.99999999999999833</v>
      </c>
      <c r="QL100" s="1010">
        <f t="shared" si="479"/>
        <v>0.99999999999999833</v>
      </c>
      <c r="QN100" s="1010">
        <f t="shared" si="480"/>
        <v>0.99999999999999833</v>
      </c>
      <c r="QP100" s="1010">
        <f t="shared" si="481"/>
        <v>0.99999999999999833</v>
      </c>
      <c r="QR100" s="7"/>
      <c r="QS100" s="7"/>
      <c r="QT100" s="7"/>
      <c r="QU100" s="7"/>
      <c r="QV100" s="7"/>
      <c r="QW100" s="7"/>
      <c r="QX100" s="7"/>
      <c r="QY100" s="7"/>
      <c r="QZ100" s="1010">
        <f t="shared" si="482"/>
        <v>1.0000000000000002</v>
      </c>
      <c r="RA100" s="7"/>
      <c r="SO100" s="1265"/>
    </row>
    <row r="101" spans="4:509" hidden="1" x14ac:dyDescent="0.25">
      <c r="D101" s="33">
        <v>16</v>
      </c>
      <c r="E101" s="33">
        <v>0.25</v>
      </c>
      <c r="F101" s="1061">
        <f t="shared" si="483"/>
        <v>0</v>
      </c>
      <c r="G101" s="33">
        <v>1</v>
      </c>
      <c r="H101" s="1131">
        <f t="shared" si="489"/>
        <v>625</v>
      </c>
      <c r="J101" s="33">
        <v>16.399999999999999</v>
      </c>
      <c r="K101" s="33" t="e">
        <f t="shared" si="490"/>
        <v>#VALUE!</v>
      </c>
      <c r="L101" s="1061">
        <f t="shared" si="484"/>
        <v>0</v>
      </c>
      <c r="M101" s="1131" t="e">
        <f t="shared" si="491"/>
        <v>#VALUE!</v>
      </c>
      <c r="O101" s="1061">
        <f t="shared" si="485"/>
        <v>0</v>
      </c>
      <c r="P101" s="33">
        <v>0.12</v>
      </c>
      <c r="Q101" s="1131">
        <f t="shared" si="486"/>
        <v>144</v>
      </c>
      <c r="V101" s="33" t="e">
        <f t="shared" si="487"/>
        <v>#DIV/0!</v>
      </c>
      <c r="W101" s="33" t="e">
        <f t="shared" si="488"/>
        <v>#DIV/0!</v>
      </c>
      <c r="QB101" s="33" t="s">
        <v>1072</v>
      </c>
      <c r="QE101" s="1010">
        <f t="shared" si="476"/>
        <v>0.99999999999999933</v>
      </c>
      <c r="QH101" s="1010">
        <f t="shared" si="477"/>
        <v>0.99999999999999933</v>
      </c>
      <c r="QJ101" s="1010">
        <f t="shared" si="478"/>
        <v>0.99999999999999833</v>
      </c>
      <c r="QL101" s="1010">
        <f t="shared" si="479"/>
        <v>0.99999999999999833</v>
      </c>
      <c r="QN101" s="1010">
        <f t="shared" si="480"/>
        <v>0.99999999999999833</v>
      </c>
      <c r="QP101" s="1010">
        <f t="shared" si="481"/>
        <v>0.99999999999999833</v>
      </c>
      <c r="QR101" s="7"/>
      <c r="QS101" s="7"/>
      <c r="QT101" s="7"/>
      <c r="QU101" s="7"/>
      <c r="QV101" s="7"/>
      <c r="QW101" s="7"/>
      <c r="QX101" s="7"/>
      <c r="QY101" s="7"/>
      <c r="QZ101" s="1010">
        <f t="shared" si="482"/>
        <v>1.0000000000000002</v>
      </c>
      <c r="RA101" s="7"/>
      <c r="SO101" s="1265"/>
    </row>
    <row r="102" spans="4:509" hidden="1" x14ac:dyDescent="0.25">
      <c r="D102" s="33">
        <v>17</v>
      </c>
      <c r="E102" s="33">
        <v>0.52</v>
      </c>
      <c r="F102" s="1061">
        <f t="shared" si="483"/>
        <v>0</v>
      </c>
      <c r="G102" s="33">
        <v>1</v>
      </c>
      <c r="H102" s="1131">
        <f t="shared" si="489"/>
        <v>2704</v>
      </c>
      <c r="J102" s="33">
        <v>12.4</v>
      </c>
      <c r="K102" s="33" t="e">
        <f t="shared" si="490"/>
        <v>#VALUE!</v>
      </c>
      <c r="L102" s="1061">
        <f t="shared" si="484"/>
        <v>0</v>
      </c>
      <c r="M102" s="1131" t="e">
        <f t="shared" si="491"/>
        <v>#VALUE!</v>
      </c>
      <c r="O102" s="1061">
        <f t="shared" si="485"/>
        <v>0</v>
      </c>
      <c r="P102" s="33">
        <v>0.2</v>
      </c>
      <c r="Q102" s="1131">
        <f t="shared" si="486"/>
        <v>400</v>
      </c>
      <c r="V102" s="33" t="e">
        <f t="shared" si="487"/>
        <v>#DIV/0!</v>
      </c>
      <c r="W102" s="33" t="e">
        <f t="shared" si="488"/>
        <v>#DIV/0!</v>
      </c>
      <c r="QB102" s="33" t="s">
        <v>1072</v>
      </c>
      <c r="QE102" s="1010">
        <f t="shared" si="476"/>
        <v>0.99999999999999933</v>
      </c>
      <c r="QH102" s="1010">
        <f t="shared" si="477"/>
        <v>0.99999999999999933</v>
      </c>
      <c r="QJ102" s="1010">
        <f t="shared" si="478"/>
        <v>0.99999999999999833</v>
      </c>
      <c r="QL102" s="1010">
        <f t="shared" si="479"/>
        <v>0.99999999999999833</v>
      </c>
      <c r="QN102" s="1010">
        <f t="shared" si="480"/>
        <v>0.99999999999999833</v>
      </c>
      <c r="QP102" s="1010">
        <f t="shared" si="481"/>
        <v>0.99999999999999833</v>
      </c>
      <c r="QR102" s="7"/>
      <c r="QS102" s="7"/>
      <c r="QT102" s="7"/>
      <c r="QU102" s="7"/>
      <c r="QV102" s="7"/>
      <c r="QW102" s="7"/>
      <c r="QX102" s="7"/>
      <c r="QY102" s="7"/>
      <c r="QZ102" s="1010">
        <f t="shared" si="482"/>
        <v>1.0000000000000002</v>
      </c>
      <c r="RA102" s="7"/>
      <c r="SO102" s="1265"/>
    </row>
    <row r="103" spans="4:509" hidden="1" x14ac:dyDescent="0.25">
      <c r="D103" s="33">
        <v>18</v>
      </c>
      <c r="E103" s="33">
        <v>0.78</v>
      </c>
      <c r="F103" s="1061">
        <f t="shared" si="483"/>
        <v>0</v>
      </c>
      <c r="G103" s="33">
        <v>1</v>
      </c>
      <c r="H103" s="1131">
        <f t="shared" si="489"/>
        <v>6084</v>
      </c>
      <c r="J103" s="33">
        <v>10.199999999999999</v>
      </c>
      <c r="K103" s="33" t="e">
        <f t="shared" si="490"/>
        <v>#VALUE!</v>
      </c>
      <c r="L103" s="1061">
        <f t="shared" si="484"/>
        <v>0</v>
      </c>
      <c r="M103" s="1131" t="e">
        <f t="shared" si="491"/>
        <v>#VALUE!</v>
      </c>
      <c r="O103" s="1061">
        <f t="shared" si="485"/>
        <v>0</v>
      </c>
      <c r="P103" s="33">
        <v>0.2</v>
      </c>
      <c r="Q103" s="1131">
        <f t="shared" si="486"/>
        <v>400</v>
      </c>
      <c r="V103" s="33" t="e">
        <f t="shared" si="487"/>
        <v>#DIV/0!</v>
      </c>
      <c r="W103" s="33" t="e">
        <f t="shared" si="488"/>
        <v>#DIV/0!</v>
      </c>
      <c r="QB103" s="33" t="s">
        <v>1072</v>
      </c>
      <c r="QE103" s="1010">
        <f t="shared" si="476"/>
        <v>0.99999999999999933</v>
      </c>
      <c r="QH103" s="1010">
        <f t="shared" si="477"/>
        <v>0.99999999999999933</v>
      </c>
      <c r="QJ103" s="1010">
        <f t="shared" si="478"/>
        <v>0.99999999999999833</v>
      </c>
      <c r="QL103" s="1010">
        <f t="shared" si="479"/>
        <v>0.99999999999999833</v>
      </c>
      <c r="QN103" s="1010">
        <f t="shared" si="480"/>
        <v>0.99999999999999833</v>
      </c>
      <c r="QP103" s="1010">
        <f t="shared" si="481"/>
        <v>0.99999999999999833</v>
      </c>
      <c r="QR103" s="7"/>
      <c r="QS103" s="7"/>
      <c r="QT103" s="7"/>
      <c r="QU103" s="7"/>
      <c r="QV103" s="7"/>
      <c r="QW103" s="7"/>
      <c r="QX103" s="7"/>
      <c r="QY103" s="7"/>
      <c r="QZ103" s="1010">
        <f t="shared" si="482"/>
        <v>1.0000000000000002</v>
      </c>
      <c r="RA103" s="7"/>
      <c r="SO103" s="1265"/>
    </row>
    <row r="104" spans="4:509" hidden="1" x14ac:dyDescent="0.25">
      <c r="D104" s="33">
        <v>19</v>
      </c>
      <c r="E104" s="33">
        <v>0.82</v>
      </c>
      <c r="F104" s="1061">
        <f t="shared" si="483"/>
        <v>0</v>
      </c>
      <c r="G104" s="33">
        <v>1</v>
      </c>
      <c r="H104" s="1131">
        <f t="shared" si="489"/>
        <v>6724</v>
      </c>
      <c r="J104" s="33">
        <v>9.1999999999999993</v>
      </c>
      <c r="K104" s="33" t="e">
        <f t="shared" si="490"/>
        <v>#VALUE!</v>
      </c>
      <c r="L104" s="1061">
        <f t="shared" si="484"/>
        <v>0</v>
      </c>
      <c r="M104" s="1131" t="e">
        <f t="shared" si="491"/>
        <v>#VALUE!</v>
      </c>
      <c r="O104" s="1061">
        <f t="shared" si="485"/>
        <v>0</v>
      </c>
      <c r="P104" s="33">
        <v>0.2</v>
      </c>
      <c r="Q104" s="1131">
        <f t="shared" si="486"/>
        <v>400</v>
      </c>
      <c r="V104" s="33" t="e">
        <f t="shared" si="487"/>
        <v>#DIV/0!</v>
      </c>
      <c r="W104" s="33" t="e">
        <f t="shared" si="488"/>
        <v>#DIV/0!</v>
      </c>
      <c r="QB104" s="33" t="s">
        <v>1072</v>
      </c>
      <c r="QE104" s="1010">
        <f t="shared" si="476"/>
        <v>0.99999999999999933</v>
      </c>
      <c r="QH104" s="1010">
        <f t="shared" si="477"/>
        <v>0.99999999999999933</v>
      </c>
      <c r="QJ104" s="1010">
        <f t="shared" si="478"/>
        <v>0.99999999999999833</v>
      </c>
      <c r="QL104" s="1010">
        <f t="shared" si="479"/>
        <v>0.99999999999999833</v>
      </c>
      <c r="QN104" s="1010">
        <f t="shared" si="480"/>
        <v>0.99999999999999833</v>
      </c>
      <c r="QP104" s="1010">
        <f t="shared" si="481"/>
        <v>0.99999999999999833</v>
      </c>
      <c r="QR104" s="7"/>
      <c r="QS104" s="7"/>
      <c r="QT104" s="7"/>
      <c r="QU104" s="7"/>
      <c r="QV104" s="7"/>
      <c r="QW104" s="7"/>
      <c r="QX104" s="7"/>
      <c r="QY104" s="7"/>
      <c r="QZ104" s="1010">
        <f t="shared" si="482"/>
        <v>1.0000000000000002</v>
      </c>
      <c r="RA104" s="7"/>
      <c r="SO104" s="1265"/>
    </row>
    <row r="105" spans="4:509" hidden="1" x14ac:dyDescent="0.25">
      <c r="D105" s="33">
        <v>20</v>
      </c>
      <c r="E105" s="33">
        <v>0.91</v>
      </c>
      <c r="F105" s="1061">
        <f t="shared" si="483"/>
        <v>0</v>
      </c>
      <c r="G105" s="33">
        <v>1</v>
      </c>
      <c r="H105" s="1131">
        <f t="shared" si="489"/>
        <v>8281</v>
      </c>
      <c r="J105" s="33">
        <v>7.4</v>
      </c>
      <c r="K105" s="33" t="e">
        <f t="shared" si="490"/>
        <v>#VALUE!</v>
      </c>
      <c r="L105" s="1061">
        <f t="shared" si="484"/>
        <v>0</v>
      </c>
      <c r="M105" s="1131" t="e">
        <f t="shared" si="491"/>
        <v>#VALUE!</v>
      </c>
      <c r="O105" s="1061">
        <f t="shared" si="485"/>
        <v>0</v>
      </c>
      <c r="P105" s="33">
        <v>0.2</v>
      </c>
      <c r="Q105" s="1131">
        <f t="shared" si="486"/>
        <v>400</v>
      </c>
      <c r="V105" s="33" t="e">
        <f t="shared" si="487"/>
        <v>#DIV/0!</v>
      </c>
      <c r="W105" s="33" t="e">
        <f t="shared" si="488"/>
        <v>#DIV/0!</v>
      </c>
      <c r="QB105" s="33" t="s">
        <v>1072</v>
      </c>
      <c r="QE105" s="1010">
        <f t="shared" si="476"/>
        <v>0.99999999999999933</v>
      </c>
      <c r="QH105" s="1010">
        <f t="shared" si="477"/>
        <v>0.99999999999999933</v>
      </c>
      <c r="QJ105" s="1010">
        <f t="shared" si="478"/>
        <v>0.99999999999999833</v>
      </c>
      <c r="QL105" s="1010">
        <f t="shared" si="479"/>
        <v>0.99999999999999833</v>
      </c>
      <c r="QN105" s="1010">
        <f t="shared" si="480"/>
        <v>0.99999999999999833</v>
      </c>
      <c r="QP105" s="1010">
        <f t="shared" si="481"/>
        <v>0.99999999999999833</v>
      </c>
      <c r="QR105" s="7"/>
      <c r="QS105" s="7"/>
      <c r="QT105" s="7"/>
      <c r="QU105" s="7"/>
      <c r="QV105" s="7"/>
      <c r="QW105" s="7"/>
      <c r="QX105" s="7"/>
      <c r="QY105" s="7"/>
      <c r="QZ105" s="1010">
        <f t="shared" si="482"/>
        <v>1.0000000000000002</v>
      </c>
      <c r="RA105" s="7"/>
      <c r="SO105" s="1265"/>
    </row>
    <row r="106" spans="4:509" hidden="1" x14ac:dyDescent="0.25">
      <c r="D106" s="33">
        <v>21</v>
      </c>
      <c r="E106" s="33">
        <v>0.98</v>
      </c>
      <c r="F106" s="1061">
        <f t="shared" si="483"/>
        <v>0</v>
      </c>
      <c r="G106" s="33">
        <v>1</v>
      </c>
      <c r="H106" s="1131">
        <f t="shared" si="489"/>
        <v>9604</v>
      </c>
      <c r="J106" s="33">
        <v>6.2</v>
      </c>
      <c r="K106" s="33" t="e">
        <f t="shared" si="490"/>
        <v>#VALUE!</v>
      </c>
      <c r="L106" s="1061">
        <f t="shared" si="484"/>
        <v>0</v>
      </c>
      <c r="M106" s="1131" t="e">
        <f t="shared" si="491"/>
        <v>#VALUE!</v>
      </c>
      <c r="O106" s="1061">
        <f t="shared" si="485"/>
        <v>0</v>
      </c>
      <c r="P106" s="33">
        <v>0.4</v>
      </c>
      <c r="Q106" s="1131">
        <f t="shared" si="486"/>
        <v>1600</v>
      </c>
      <c r="V106" s="33" t="e">
        <f t="shared" si="487"/>
        <v>#DIV/0!</v>
      </c>
      <c r="W106" s="33" t="e">
        <f t="shared" si="488"/>
        <v>#DIV/0!</v>
      </c>
      <c r="QB106" s="33" t="s">
        <v>1072</v>
      </c>
      <c r="QE106" s="1010">
        <f t="shared" si="476"/>
        <v>0.99999999999999933</v>
      </c>
      <c r="QH106" s="1010">
        <f t="shared" si="477"/>
        <v>0.99999999999999933</v>
      </c>
      <c r="QJ106" s="1010">
        <f t="shared" si="478"/>
        <v>0.99999999999999833</v>
      </c>
      <c r="QL106" s="1010">
        <f t="shared" si="479"/>
        <v>0.99999999999999833</v>
      </c>
      <c r="QN106" s="1010">
        <f t="shared" si="480"/>
        <v>0.99999999999999833</v>
      </c>
      <c r="QP106" s="1010">
        <f t="shared" si="481"/>
        <v>0.99999999999999833</v>
      </c>
      <c r="QR106" s="7"/>
      <c r="QS106" s="7"/>
      <c r="QT106" s="7"/>
      <c r="QU106" s="7"/>
      <c r="QV106" s="7"/>
      <c r="QW106" s="7"/>
      <c r="QX106" s="7"/>
      <c r="QY106" s="7"/>
      <c r="QZ106" s="1010">
        <f t="shared" si="482"/>
        <v>1.0000000000000002</v>
      </c>
      <c r="RA106" s="7"/>
      <c r="SO106" s="1265"/>
    </row>
    <row r="107" spans="4:509" hidden="1" x14ac:dyDescent="0.25">
      <c r="D107" s="33">
        <v>22</v>
      </c>
      <c r="E107" s="33">
        <v>0.97</v>
      </c>
      <c r="F107" s="1061">
        <f t="shared" si="483"/>
        <v>0</v>
      </c>
      <c r="G107" s="33">
        <v>0.5</v>
      </c>
      <c r="H107" s="1131">
        <f t="shared" si="489"/>
        <v>4704.5</v>
      </c>
      <c r="J107" s="33">
        <v>7</v>
      </c>
      <c r="K107" s="33" t="e">
        <f t="shared" si="490"/>
        <v>#VALUE!</v>
      </c>
      <c r="L107" s="1061">
        <f t="shared" si="484"/>
        <v>0</v>
      </c>
      <c r="M107" s="1131" t="e">
        <f t="shared" si="491"/>
        <v>#VALUE!</v>
      </c>
      <c r="O107" s="1061">
        <f t="shared" si="485"/>
        <v>0</v>
      </c>
      <c r="P107" s="33">
        <v>0.4</v>
      </c>
      <c r="Q107" s="1131">
        <f t="shared" si="486"/>
        <v>1600</v>
      </c>
      <c r="V107" s="33" t="e">
        <f t="shared" si="487"/>
        <v>#DIV/0!</v>
      </c>
      <c r="W107" s="33" t="e">
        <f t="shared" si="488"/>
        <v>#DIV/0!</v>
      </c>
      <c r="QB107" s="33" t="s">
        <v>1072</v>
      </c>
      <c r="QE107" s="1010">
        <f t="shared" si="476"/>
        <v>0</v>
      </c>
      <c r="QH107" s="1010">
        <f t="shared" si="477"/>
        <v>0</v>
      </c>
      <c r="QJ107" s="1010">
        <f t="shared" si="478"/>
        <v>0</v>
      </c>
      <c r="QL107" s="1010">
        <f t="shared" si="479"/>
        <v>0</v>
      </c>
      <c r="QN107" s="1010">
        <f t="shared" si="480"/>
        <v>0</v>
      </c>
      <c r="QP107" s="1010">
        <f t="shared" si="481"/>
        <v>0</v>
      </c>
      <c r="QR107" s="7"/>
      <c r="QS107" s="7"/>
      <c r="QT107" s="7"/>
      <c r="QU107" s="7"/>
      <c r="QV107" s="7"/>
      <c r="QW107" s="7"/>
      <c r="QX107" s="7"/>
      <c r="QY107" s="7"/>
      <c r="QZ107" s="1010">
        <f t="shared" si="482"/>
        <v>0</v>
      </c>
      <c r="RA107" s="7"/>
      <c r="SO107" s="1265"/>
    </row>
    <row r="108" spans="4:509" hidden="1" x14ac:dyDescent="0.25">
      <c r="D108" s="33">
        <v>23</v>
      </c>
      <c r="E108" s="33">
        <v>0.99</v>
      </c>
      <c r="F108" s="1061">
        <f t="shared" si="483"/>
        <v>0</v>
      </c>
      <c r="G108" s="33">
        <v>0.5</v>
      </c>
      <c r="H108" s="1131">
        <f t="shared" si="489"/>
        <v>4900.5</v>
      </c>
      <c r="J108" s="33">
        <v>6.2</v>
      </c>
      <c r="K108" s="33" t="e">
        <f t="shared" si="490"/>
        <v>#VALUE!</v>
      </c>
      <c r="L108" s="1061">
        <f t="shared" si="484"/>
        <v>0</v>
      </c>
      <c r="M108" s="1131" t="e">
        <f t="shared" si="491"/>
        <v>#VALUE!</v>
      </c>
      <c r="O108" s="1061">
        <f t="shared" si="485"/>
        <v>0</v>
      </c>
      <c r="P108" s="33">
        <v>0.4</v>
      </c>
      <c r="Q108" s="1131">
        <f t="shared" si="486"/>
        <v>1600</v>
      </c>
      <c r="V108" s="33" t="e">
        <f t="shared" si="487"/>
        <v>#DIV/0!</v>
      </c>
      <c r="W108" s="33" t="e">
        <f t="shared" si="488"/>
        <v>#DIV/0!</v>
      </c>
      <c r="QB108" s="33" t="s">
        <v>1072</v>
      </c>
      <c r="QE108" s="1010">
        <f t="shared" si="476"/>
        <v>0</v>
      </c>
      <c r="QH108" s="1010">
        <f t="shared" si="477"/>
        <v>0</v>
      </c>
      <c r="QJ108" s="1010">
        <f t="shared" si="478"/>
        <v>0</v>
      </c>
      <c r="QL108" s="1010">
        <f t="shared" si="479"/>
        <v>0</v>
      </c>
      <c r="QN108" s="1010">
        <f t="shared" si="480"/>
        <v>0</v>
      </c>
      <c r="QP108" s="1010">
        <f t="shared" si="481"/>
        <v>0</v>
      </c>
      <c r="QR108" s="7"/>
      <c r="QS108" s="7"/>
      <c r="QT108" s="7"/>
      <c r="QU108" s="7"/>
      <c r="QV108" s="7"/>
      <c r="QW108" s="7"/>
      <c r="QX108" s="7"/>
      <c r="QY108" s="7"/>
      <c r="QZ108" s="1010">
        <f t="shared" si="482"/>
        <v>0</v>
      </c>
      <c r="RA108" s="7"/>
      <c r="SO108" s="1265"/>
    </row>
    <row r="109" spans="4:509" hidden="1" x14ac:dyDescent="0.25">
      <c r="D109" s="33">
        <v>24</v>
      </c>
      <c r="E109" s="33">
        <v>0.98</v>
      </c>
      <c r="F109" s="1061">
        <f t="shared" si="483"/>
        <v>0</v>
      </c>
      <c r="G109" s="33">
        <v>0.5</v>
      </c>
      <c r="H109" s="1131">
        <f t="shared" si="489"/>
        <v>4802</v>
      </c>
      <c r="J109" s="33">
        <v>5.2</v>
      </c>
      <c r="K109" s="33" t="e">
        <f t="shared" si="490"/>
        <v>#VALUE!</v>
      </c>
      <c r="L109" s="1061">
        <f t="shared" si="484"/>
        <v>0</v>
      </c>
      <c r="M109" s="1131" t="e">
        <f t="shared" si="491"/>
        <v>#VALUE!</v>
      </c>
      <c r="O109" s="1061">
        <f t="shared" si="485"/>
        <v>0</v>
      </c>
      <c r="P109" s="33">
        <v>0.4</v>
      </c>
      <c r="Q109" s="1131">
        <f t="shared" si="486"/>
        <v>1600</v>
      </c>
      <c r="R109" s="1132">
        <f>SUM(H86:H110)</f>
        <v>58961.59</v>
      </c>
      <c r="S109" s="1132" t="e">
        <f>SUM(M86:M110)</f>
        <v>#VALUE!</v>
      </c>
      <c r="T109" s="1132">
        <f>SUM(Q86:Q110)</f>
        <v>11104</v>
      </c>
      <c r="V109" s="33" t="e">
        <f t="shared" si="487"/>
        <v>#DIV/0!</v>
      </c>
      <c r="W109" s="33" t="e">
        <f t="shared" si="488"/>
        <v>#DIV/0!</v>
      </c>
      <c r="QB109" s="33" t="s">
        <v>1072</v>
      </c>
      <c r="QE109" s="1010">
        <f t="shared" si="476"/>
        <v>0</v>
      </c>
      <c r="QH109" s="1010">
        <f t="shared" si="477"/>
        <v>0</v>
      </c>
      <c r="QJ109" s="1010">
        <f t="shared" si="478"/>
        <v>0</v>
      </c>
      <c r="QL109" s="1010">
        <f t="shared" si="479"/>
        <v>0</v>
      </c>
      <c r="QN109" s="1010">
        <f t="shared" si="480"/>
        <v>0</v>
      </c>
      <c r="QP109" s="1010">
        <f t="shared" si="481"/>
        <v>0</v>
      </c>
      <c r="QR109" s="7"/>
      <c r="QS109" s="7"/>
      <c r="QT109" s="7"/>
      <c r="QU109" s="7"/>
      <c r="QV109" s="7"/>
      <c r="QW109" s="7"/>
      <c r="QX109" s="7"/>
      <c r="QY109" s="7"/>
      <c r="QZ109" s="1010">
        <f t="shared" si="482"/>
        <v>0</v>
      </c>
      <c r="RA109" s="7"/>
      <c r="SO109" s="1265"/>
    </row>
    <row r="110" spans="4:509" hidden="1" x14ac:dyDescent="0.25">
      <c r="D110" s="33">
        <v>25</v>
      </c>
      <c r="E110" s="33">
        <v>0.99</v>
      </c>
      <c r="F110" s="1061">
        <f t="shared" si="483"/>
        <v>0</v>
      </c>
      <c r="G110" s="33">
        <v>0.5</v>
      </c>
      <c r="H110" s="1131">
        <f t="shared" si="489"/>
        <v>4900.5</v>
      </c>
      <c r="J110" s="33">
        <v>4.5</v>
      </c>
      <c r="K110" s="33" t="e">
        <f t="shared" si="490"/>
        <v>#VALUE!</v>
      </c>
      <c r="L110" s="1061">
        <f t="shared" si="484"/>
        <v>0</v>
      </c>
      <c r="M110" s="1131" t="e">
        <f t="shared" si="491"/>
        <v>#VALUE!</v>
      </c>
      <c r="O110" s="1061">
        <f t="shared" si="485"/>
        <v>0</v>
      </c>
      <c r="P110" s="33">
        <v>0.4</v>
      </c>
      <c r="Q110" s="1131">
        <f t="shared" si="486"/>
        <v>1600</v>
      </c>
      <c r="R110" s="33" t="s">
        <v>624</v>
      </c>
      <c r="S110" s="1132" t="e">
        <f>10000* ( R109+(S109)+(T109))</f>
        <v>#VALUE!</v>
      </c>
      <c r="V110" s="33" t="e">
        <f t="shared" si="487"/>
        <v>#DIV/0!</v>
      </c>
      <c r="W110" s="33" t="e">
        <f t="shared" si="488"/>
        <v>#DIV/0!</v>
      </c>
      <c r="QB110" s="33" t="s">
        <v>1072</v>
      </c>
      <c r="QE110" s="1010">
        <f t="shared" si="476"/>
        <v>0.99999999999999933</v>
      </c>
      <c r="QH110" s="1010">
        <f t="shared" si="477"/>
        <v>0.99999999999999933</v>
      </c>
      <c r="QJ110" s="1010">
        <f t="shared" si="478"/>
        <v>0.99999999999999833</v>
      </c>
      <c r="QL110" s="1010">
        <f t="shared" si="479"/>
        <v>0.99999999999999833</v>
      </c>
      <c r="QN110" s="1010">
        <f t="shared" si="480"/>
        <v>0.99999999999999833</v>
      </c>
      <c r="QP110" s="1010">
        <f t="shared" si="481"/>
        <v>0.99999999999999833</v>
      </c>
      <c r="QR110" s="7"/>
      <c r="QS110" s="7"/>
      <c r="QT110" s="7"/>
      <c r="QU110" s="7"/>
      <c r="QV110" s="7"/>
      <c r="QW110" s="7"/>
      <c r="QX110" s="7"/>
      <c r="QY110" s="7"/>
      <c r="QZ110" s="1010">
        <f t="shared" si="482"/>
        <v>1.0000000000000002</v>
      </c>
      <c r="RA110" s="7"/>
      <c r="SO110" s="1265"/>
    </row>
    <row r="111" spans="4:509" hidden="1" x14ac:dyDescent="0.25">
      <c r="QB111" s="33" t="s">
        <v>1072</v>
      </c>
      <c r="QE111" s="1010">
        <f t="shared" ca="1" si="476"/>
        <v>1.0000000000000004</v>
      </c>
      <c r="QH111" s="1010">
        <f t="shared" ca="1" si="477"/>
        <v>1.0000000000000004</v>
      </c>
      <c r="QJ111" s="1010">
        <f t="shared" ca="1" si="478"/>
        <v>1.0000000000000007</v>
      </c>
      <c r="QL111" s="1010">
        <f t="shared" ca="1" si="479"/>
        <v>1.0000000000000007</v>
      </c>
      <c r="QN111" s="1010">
        <f t="shared" ca="1" si="480"/>
        <v>1.0000000000000004</v>
      </c>
      <c r="QP111" s="1010">
        <f t="shared" ca="1" si="481"/>
        <v>1.0000000000000004</v>
      </c>
      <c r="QR111" s="7"/>
      <c r="QS111" s="7"/>
      <c r="QT111" s="7"/>
      <c r="QU111" s="7"/>
      <c r="QV111" s="7"/>
      <c r="QW111" s="7"/>
      <c r="QX111" s="7"/>
      <c r="QY111" s="7"/>
      <c r="QZ111" s="1010">
        <f t="shared" ca="1" si="482"/>
        <v>1.0000000000000004</v>
      </c>
      <c r="RA111" s="7"/>
      <c r="SO111" s="1265"/>
    </row>
    <row r="112" spans="4:509" hidden="1" x14ac:dyDescent="0.25">
      <c r="QB112" s="33" t="s">
        <v>1072</v>
      </c>
      <c r="QE112" s="1010">
        <f t="shared" ca="1" si="476"/>
        <v>0.99999999999999978</v>
      </c>
      <c r="QH112" s="1010">
        <f t="shared" ca="1" si="477"/>
        <v>0.99999999999999989</v>
      </c>
      <c r="QJ112" s="1010">
        <f t="shared" ca="1" si="478"/>
        <v>1</v>
      </c>
      <c r="QL112" s="1010">
        <f t="shared" ca="1" si="479"/>
        <v>1</v>
      </c>
      <c r="QN112" s="1010">
        <f t="shared" ca="1" si="480"/>
        <v>0.99999999999999978</v>
      </c>
      <c r="QP112" s="1010">
        <f t="shared" ca="1" si="481"/>
        <v>1</v>
      </c>
      <c r="QR112" s="7"/>
      <c r="QS112" s="7"/>
      <c r="QT112" s="7"/>
      <c r="QU112" s="7"/>
      <c r="QV112" s="7"/>
      <c r="QW112" s="7"/>
      <c r="QX112" s="7"/>
      <c r="QY112" s="7"/>
      <c r="QZ112" s="1010">
        <f t="shared" ca="1" si="482"/>
        <v>0.99999999999999978</v>
      </c>
      <c r="RA112" s="7"/>
      <c r="SO112" s="1265"/>
    </row>
    <row r="113" spans="3:509" hidden="1" x14ac:dyDescent="0.25">
      <c r="QB113" s="33" t="s">
        <v>1072</v>
      </c>
      <c r="QE113" s="1010">
        <f t="shared" ca="1" si="476"/>
        <v>1.0000000000000002</v>
      </c>
      <c r="QH113" s="1010">
        <f t="shared" ca="1" si="477"/>
        <v>1.0000000000000004</v>
      </c>
      <c r="QJ113" s="1010">
        <f t="shared" ca="1" si="478"/>
        <v>1.0000000000000004</v>
      </c>
      <c r="QL113" s="1010">
        <f t="shared" ca="1" si="479"/>
        <v>1.0000000000000004</v>
      </c>
      <c r="QN113" s="1010">
        <f t="shared" ca="1" si="480"/>
        <v>1.0000000000000004</v>
      </c>
      <c r="QP113" s="1010">
        <f t="shared" ca="1" si="481"/>
        <v>1.0000000000000004</v>
      </c>
      <c r="QR113" s="7"/>
      <c r="QS113" s="7"/>
      <c r="QT113" s="7"/>
      <c r="QU113" s="7"/>
      <c r="QV113" s="7"/>
      <c r="QW113" s="7"/>
      <c r="QX113" s="7"/>
      <c r="QY113" s="7"/>
      <c r="QZ113" s="1010">
        <f t="shared" ca="1" si="482"/>
        <v>1.0000000000000004</v>
      </c>
      <c r="RA113" s="7"/>
      <c r="SO113" s="1265"/>
    </row>
    <row r="114" spans="3:509" hidden="1" x14ac:dyDescent="0.25">
      <c r="QB114" s="33" t="s">
        <v>1072</v>
      </c>
      <c r="QE114" s="1010">
        <f t="shared" ca="1" si="476"/>
        <v>0.99999999999999956</v>
      </c>
      <c r="QH114" s="1010">
        <f t="shared" ca="1" si="477"/>
        <v>0.99999999999999967</v>
      </c>
      <c r="QJ114" s="1010">
        <f t="shared" ca="1" si="478"/>
        <v>0.99999999999999956</v>
      </c>
      <c r="QL114" s="1010">
        <f t="shared" ca="1" si="479"/>
        <v>0.99999999999999956</v>
      </c>
      <c r="QN114" s="1010">
        <f t="shared" ca="1" si="480"/>
        <v>0.99999999999999944</v>
      </c>
      <c r="QP114" s="1010">
        <f t="shared" ca="1" si="481"/>
        <v>0.99999999999999944</v>
      </c>
      <c r="QR114" s="7"/>
      <c r="QS114" s="7"/>
      <c r="QT114" s="7"/>
      <c r="QU114" s="7"/>
      <c r="QV114" s="7"/>
      <c r="QW114" s="7"/>
      <c r="QX114" s="7"/>
      <c r="QY114" s="7"/>
      <c r="QZ114" s="1010">
        <f t="shared" ca="1" si="482"/>
        <v>0.99999999999999956</v>
      </c>
      <c r="RA114" s="7"/>
      <c r="SO114" s="1265"/>
    </row>
    <row r="115" spans="3:509" hidden="1" x14ac:dyDescent="0.25">
      <c r="QB115" s="33" t="s">
        <v>1072</v>
      </c>
      <c r="QE115" s="1010">
        <f t="shared" ca="1" si="476"/>
        <v>1</v>
      </c>
      <c r="QH115" s="1010">
        <f t="shared" ca="1" si="477"/>
        <v>0.99999999999999956</v>
      </c>
      <c r="QJ115" s="1010">
        <f t="shared" ca="1" si="478"/>
        <v>0.99999999999999978</v>
      </c>
      <c r="QL115" s="1010">
        <f t="shared" ca="1" si="479"/>
        <v>0.99999999999999978</v>
      </c>
      <c r="QN115" s="1010">
        <f t="shared" ca="1" si="480"/>
        <v>0.99999999999999967</v>
      </c>
      <c r="QP115" s="1010">
        <f t="shared" ca="1" si="481"/>
        <v>0.99999999999999956</v>
      </c>
      <c r="QR115" s="7"/>
      <c r="QS115" s="7"/>
      <c r="QT115" s="7"/>
      <c r="QU115" s="7"/>
      <c r="QV115" s="7"/>
      <c r="QW115" s="7"/>
      <c r="QX115" s="7"/>
      <c r="QY115" s="7"/>
      <c r="QZ115" s="1010">
        <f t="shared" ca="1" si="482"/>
        <v>0.99999999999999956</v>
      </c>
      <c r="RA115" s="7"/>
      <c r="SO115" s="1265"/>
    </row>
    <row r="116" spans="3:509" hidden="1" x14ac:dyDescent="0.25">
      <c r="QB116" s="33" t="s">
        <v>1072</v>
      </c>
      <c r="QE116" s="1010">
        <f t="shared" ca="1" si="476"/>
        <v>1.0000000000000002</v>
      </c>
      <c r="QH116" s="1010">
        <f t="shared" ca="1" si="477"/>
        <v>1.0000000000000004</v>
      </c>
      <c r="QJ116" s="1010">
        <f t="shared" ca="1" si="478"/>
        <v>1.0000000000000004</v>
      </c>
      <c r="QL116" s="1010">
        <f t="shared" ca="1" si="479"/>
        <v>1.0000000000000002</v>
      </c>
      <c r="QN116" s="1010">
        <f t="shared" ca="1" si="480"/>
        <v>1.0000000000000007</v>
      </c>
      <c r="QP116" s="1010">
        <f t="shared" ca="1" si="481"/>
        <v>1</v>
      </c>
      <c r="QR116" s="7"/>
      <c r="QS116" s="7"/>
      <c r="QT116" s="7"/>
      <c r="QU116" s="7"/>
      <c r="QV116" s="7"/>
      <c r="QW116" s="7"/>
      <c r="QX116" s="7"/>
      <c r="QY116" s="7"/>
      <c r="QZ116" s="1010">
        <f t="shared" ca="1" si="482"/>
        <v>1.0000000000000004</v>
      </c>
      <c r="RA116" s="7"/>
      <c r="SO116" s="1265"/>
    </row>
    <row r="117" spans="3:509" x14ac:dyDescent="0.25">
      <c r="QB117" s="33" t="s">
        <v>1072</v>
      </c>
      <c r="QE117" s="1010">
        <f t="shared" si="476"/>
        <v>1.0000000000000002</v>
      </c>
      <c r="QH117" s="1010">
        <f t="shared" si="477"/>
        <v>1</v>
      </c>
      <c r="QJ117" s="1010">
        <f t="shared" si="478"/>
        <v>1.0000000000000002</v>
      </c>
      <c r="QL117" s="1010">
        <f t="shared" si="479"/>
        <v>1</v>
      </c>
      <c r="QN117" s="1010">
        <f t="shared" si="480"/>
        <v>1</v>
      </c>
      <c r="QP117" s="1010">
        <f t="shared" si="481"/>
        <v>1</v>
      </c>
      <c r="QR117" s="7"/>
      <c r="QS117" s="7"/>
      <c r="QT117" s="7"/>
      <c r="QU117" s="7"/>
      <c r="QV117" s="7"/>
      <c r="QW117" s="7"/>
      <c r="QX117" s="7"/>
      <c r="QY117" s="7"/>
      <c r="QZ117" s="1010">
        <f t="shared" si="482"/>
        <v>1</v>
      </c>
      <c r="RA117" s="7"/>
      <c r="SO117" s="1265"/>
    </row>
    <row r="118" spans="3:509" x14ac:dyDescent="0.25">
      <c r="C118" s="1452">
        <f>D59</f>
        <v>44034</v>
      </c>
      <c r="D118" s="264"/>
      <c r="E118" s="264"/>
      <c r="F118" s="264"/>
      <c r="G118" s="264"/>
      <c r="H118" s="264"/>
      <c r="I118" s="264"/>
      <c r="J118" s="264"/>
      <c r="K118" s="264"/>
      <c r="L118" s="264"/>
      <c r="M118" s="264"/>
      <c r="N118" s="1453"/>
      <c r="O118" s="264"/>
      <c r="P118" s="264"/>
      <c r="Q118" s="264"/>
      <c r="R118" s="264"/>
      <c r="S118" s="264"/>
      <c r="T118" s="264"/>
      <c r="U118" s="264"/>
      <c r="V118" s="264"/>
      <c r="W118" s="264"/>
      <c r="X118" s="150"/>
      <c r="Y118" s="237"/>
      <c r="QB118" s="33" t="s">
        <v>1072</v>
      </c>
      <c r="QE118" s="1010">
        <f t="shared" si="476"/>
        <v>1</v>
      </c>
      <c r="QH118" s="1010">
        <f t="shared" si="477"/>
        <v>1</v>
      </c>
      <c r="QJ118" s="1010">
        <f t="shared" si="478"/>
        <v>1</v>
      </c>
      <c r="QL118" s="1010">
        <f t="shared" si="479"/>
        <v>1</v>
      </c>
      <c r="QN118" s="1010">
        <f t="shared" si="480"/>
        <v>1</v>
      </c>
      <c r="QP118" s="1010">
        <f t="shared" si="481"/>
        <v>1</v>
      </c>
      <c r="QR118" s="7"/>
      <c r="QS118" s="7"/>
      <c r="QT118" s="7"/>
      <c r="QU118" s="7"/>
      <c r="QV118" s="7"/>
      <c r="QW118" s="7"/>
      <c r="QX118" s="7"/>
      <c r="QY118" s="7"/>
      <c r="QZ118" s="1010">
        <f t="shared" si="482"/>
        <v>1</v>
      </c>
      <c r="RA118" s="7"/>
      <c r="SO118" s="1265"/>
    </row>
    <row r="119" spans="3:509" x14ac:dyDescent="0.25">
      <c r="C119" s="290"/>
      <c r="D119" s="17"/>
      <c r="E119" s="1621" t="s">
        <v>1075</v>
      </c>
      <c r="F119" s="1621"/>
      <c r="G119" s="1621"/>
      <c r="H119" s="1621" t="s">
        <v>1128</v>
      </c>
      <c r="I119" s="1621"/>
      <c r="J119" s="1621"/>
      <c r="K119" s="1621" t="s">
        <v>1129</v>
      </c>
      <c r="L119" s="1621"/>
      <c r="M119" s="1621"/>
      <c r="N119" s="17"/>
      <c r="O119" s="1251" t="s">
        <v>1115</v>
      </c>
      <c r="P119" s="1251" t="s">
        <v>1116</v>
      </c>
      <c r="Q119" s="1251" t="s">
        <v>1117</v>
      </c>
      <c r="R119" s="1251" t="s">
        <v>1118</v>
      </c>
      <c r="S119" s="1251" t="s">
        <v>1119</v>
      </c>
      <c r="T119" s="1251" t="s">
        <v>1120</v>
      </c>
      <c r="U119" s="1251" t="s">
        <v>1121</v>
      </c>
      <c r="V119" s="1251" t="s">
        <v>1122</v>
      </c>
      <c r="W119" s="1251" t="s">
        <v>1123</v>
      </c>
      <c r="X119" s="7"/>
      <c r="Y119" s="6"/>
      <c r="QB119" s="33" t="s">
        <v>1072</v>
      </c>
      <c r="QE119" s="1010">
        <f t="shared" ca="1" si="476"/>
        <v>1.0000000000000004</v>
      </c>
      <c r="QH119" s="1010">
        <f t="shared" ca="1" si="477"/>
        <v>1.0000000000000004</v>
      </c>
      <c r="QJ119" s="1010">
        <f t="shared" ca="1" si="478"/>
        <v>1.0000000000000004</v>
      </c>
      <c r="QL119" s="1010">
        <f t="shared" ca="1" si="479"/>
        <v>1.0000000000000002</v>
      </c>
      <c r="QN119" s="1010">
        <f t="shared" ca="1" si="480"/>
        <v>1.0000000000000007</v>
      </c>
      <c r="QP119" s="1010">
        <f t="shared" ca="1" si="481"/>
        <v>1.0000000000000004</v>
      </c>
      <c r="QR119" s="7"/>
      <c r="QS119" s="7"/>
      <c r="QT119" s="7"/>
      <c r="QU119" s="7"/>
      <c r="QV119" s="7"/>
      <c r="QW119" s="7"/>
      <c r="QX119" s="7"/>
      <c r="QY119" s="7"/>
      <c r="QZ119" s="1010">
        <f t="shared" ca="1" si="482"/>
        <v>1.0000000000000004</v>
      </c>
      <c r="RA119" s="7"/>
      <c r="SO119" s="1265"/>
    </row>
    <row r="120" spans="3:509" ht="15.75" thickBot="1" x14ac:dyDescent="0.3">
      <c r="C120" s="290"/>
      <c r="D120" s="17"/>
      <c r="E120" s="1624"/>
      <c r="F120" s="1624"/>
      <c r="G120" s="1624"/>
      <c r="H120" s="1624"/>
      <c r="I120" s="1624"/>
      <c r="J120" s="1624"/>
      <c r="K120" s="1624"/>
      <c r="L120" s="1624"/>
      <c r="M120" s="1624"/>
      <c r="N120" s="21" t="s">
        <v>897</v>
      </c>
      <c r="O120" s="806">
        <f t="shared" ref="O120:W120" si="492">SR59</f>
        <v>0.49999999999999989</v>
      </c>
      <c r="P120" s="806">
        <f t="shared" si="492"/>
        <v>0.49999999999999989</v>
      </c>
      <c r="Q120" s="806">
        <f t="shared" si="492"/>
        <v>0.49999999999999989</v>
      </c>
      <c r="R120" s="806">
        <f t="shared" si="492"/>
        <v>0.49999999999999989</v>
      </c>
      <c r="S120" s="806">
        <f t="shared" si="492"/>
        <v>0.99999974064358332</v>
      </c>
      <c r="T120" s="806">
        <f t="shared" si="492"/>
        <v>0.50005703888310882</v>
      </c>
      <c r="U120" s="806">
        <f t="shared" si="492"/>
        <v>0.50002414000808149</v>
      </c>
      <c r="V120" s="806">
        <f t="shared" si="492"/>
        <v>2.9627249984175864E-7</v>
      </c>
      <c r="W120" s="806">
        <f t="shared" si="492"/>
        <v>0.99999999999999845</v>
      </c>
      <c r="X120" s="7"/>
      <c r="Y120" s="6"/>
      <c r="QB120" s="33" t="s">
        <v>1072</v>
      </c>
      <c r="QE120" s="1010">
        <f t="shared" ca="1" si="476"/>
        <v>1</v>
      </c>
      <c r="QH120" s="1010">
        <f t="shared" ca="1" si="477"/>
        <v>0.99999999999999989</v>
      </c>
      <c r="QJ120" s="1010">
        <f t="shared" ca="1" si="478"/>
        <v>0.99999999999999989</v>
      </c>
      <c r="QL120" s="1010">
        <f t="shared" ca="1" si="479"/>
        <v>0.99999999999999989</v>
      </c>
      <c r="QN120" s="1010">
        <f t="shared" ca="1" si="480"/>
        <v>1</v>
      </c>
      <c r="QP120" s="1010">
        <f t="shared" ca="1" si="481"/>
        <v>0.99999999999999967</v>
      </c>
      <c r="QZ120" s="1010">
        <f t="shared" ca="1" si="482"/>
        <v>0.99999999999999978</v>
      </c>
      <c r="SO120" s="1265"/>
    </row>
    <row r="121" spans="3:509" x14ac:dyDescent="0.25">
      <c r="C121" s="5"/>
      <c r="D121" s="1621" t="s">
        <v>1125</v>
      </c>
      <c r="E121" s="933" t="s">
        <v>1115</v>
      </c>
      <c r="F121" s="251"/>
      <c r="G121" s="242"/>
      <c r="H121" s="251" t="s">
        <v>1118</v>
      </c>
      <c r="I121" s="251"/>
      <c r="J121" s="242"/>
      <c r="K121" s="251" t="s">
        <v>1121</v>
      </c>
      <c r="L121" s="251"/>
      <c r="M121" s="249"/>
      <c r="N121" s="21" t="s">
        <v>899</v>
      </c>
      <c r="O121" s="806">
        <f t="shared" ref="O121:W121" si="493">TB59</f>
        <v>0.49999999999999989</v>
      </c>
      <c r="P121" s="806">
        <f t="shared" si="493"/>
        <v>0.49999999999999989</v>
      </c>
      <c r="Q121" s="806">
        <f t="shared" si="493"/>
        <v>0.49999999999999989</v>
      </c>
      <c r="R121" s="806">
        <f t="shared" si="493"/>
        <v>0.49999999999999989</v>
      </c>
      <c r="S121" s="806">
        <f t="shared" si="493"/>
        <v>0.50001426841228447</v>
      </c>
      <c r="T121" s="806">
        <f t="shared" si="493"/>
        <v>0.50001729174350262</v>
      </c>
      <c r="U121" s="806">
        <f t="shared" si="493"/>
        <v>0.50001217661753961</v>
      </c>
      <c r="V121" s="806">
        <f t="shared" si="493"/>
        <v>0.42856283942909446</v>
      </c>
      <c r="W121" s="806">
        <f t="shared" si="493"/>
        <v>0.42659983029182263</v>
      </c>
      <c r="X121" s="7"/>
      <c r="Y121" s="6"/>
      <c r="QB121" s="33" t="s">
        <v>1072</v>
      </c>
      <c r="QE121" s="1010">
        <f t="shared" si="476"/>
        <v>0.99999999999999933</v>
      </c>
      <c r="QH121" s="1010">
        <f t="shared" si="477"/>
        <v>0.99999999999999933</v>
      </c>
      <c r="QJ121" s="1010">
        <f t="shared" si="478"/>
        <v>0.99999999999999833</v>
      </c>
      <c r="QL121" s="1010">
        <f t="shared" si="479"/>
        <v>0.99999999999999833</v>
      </c>
      <c r="QN121" s="1010">
        <f t="shared" si="480"/>
        <v>0.99999999999999833</v>
      </c>
      <c r="QP121" s="1010">
        <f t="shared" si="481"/>
        <v>0.99999999999999833</v>
      </c>
      <c r="QZ121" s="1010">
        <f t="shared" si="482"/>
        <v>1.0000000000000002</v>
      </c>
      <c r="SO121" s="1265"/>
    </row>
    <row r="122" spans="3:509" x14ac:dyDescent="0.25">
      <c r="C122" s="5"/>
      <c r="D122" s="1621"/>
      <c r="E122" s="118" t="s">
        <v>897</v>
      </c>
      <c r="F122" s="1448">
        <f>O120</f>
        <v>0.49999999999999989</v>
      </c>
      <c r="G122" s="239"/>
      <c r="H122" s="21" t="s">
        <v>897</v>
      </c>
      <c r="I122" s="1448">
        <f>R120</f>
        <v>0.49999999999999989</v>
      </c>
      <c r="J122" s="239"/>
      <c r="K122" s="21" t="s">
        <v>897</v>
      </c>
      <c r="L122" s="1448">
        <f>U120</f>
        <v>0.50002414000808149</v>
      </c>
      <c r="M122" s="195"/>
      <c r="N122" s="21" t="s">
        <v>901</v>
      </c>
      <c r="O122" s="806">
        <f t="shared" ref="O122:W122" si="494">TL59</f>
        <v>0.49999999999999989</v>
      </c>
      <c r="P122" s="806">
        <f t="shared" si="494"/>
        <v>0.49999999999999989</v>
      </c>
      <c r="Q122" s="806">
        <f t="shared" si="494"/>
        <v>0.49999999999999989</v>
      </c>
      <c r="R122" s="806">
        <f t="shared" si="494"/>
        <v>0.49999999999999989</v>
      </c>
      <c r="S122" s="806">
        <f t="shared" si="494"/>
        <v>0.50000622259233019</v>
      </c>
      <c r="T122" s="806">
        <f t="shared" si="494"/>
        <v>0.50001228742479464</v>
      </c>
      <c r="U122" s="806">
        <f t="shared" si="494"/>
        <v>0.50000692403657376</v>
      </c>
      <c r="V122" s="806">
        <f t="shared" si="494"/>
        <v>0.42858766057176956</v>
      </c>
      <c r="W122" s="806">
        <f t="shared" si="494"/>
        <v>0.42659983029182263</v>
      </c>
      <c r="X122" s="7"/>
      <c r="Y122" s="6"/>
      <c r="QB122" s="33" t="s">
        <v>1072</v>
      </c>
      <c r="QE122" s="1010">
        <f t="shared" si="476"/>
        <v>0.99999999999999933</v>
      </c>
      <c r="QH122" s="1010">
        <f t="shared" si="477"/>
        <v>0.99999999999999933</v>
      </c>
      <c r="QJ122" s="1010">
        <f t="shared" si="478"/>
        <v>0.99999999999999833</v>
      </c>
      <c r="QL122" s="1010">
        <f t="shared" si="479"/>
        <v>0.99999999999999833</v>
      </c>
      <c r="QN122" s="1010">
        <f t="shared" si="480"/>
        <v>0.99999999999999833</v>
      </c>
      <c r="QP122" s="1010">
        <f t="shared" si="481"/>
        <v>0.99999999999999833</v>
      </c>
      <c r="QZ122" s="1010">
        <f t="shared" si="482"/>
        <v>1.0000000000000002</v>
      </c>
      <c r="SO122" s="1265"/>
    </row>
    <row r="123" spans="3:509" x14ac:dyDescent="0.25">
      <c r="C123" s="5"/>
      <c r="D123" s="1621"/>
      <c r="E123" s="118" t="s">
        <v>899</v>
      </c>
      <c r="F123" s="1450">
        <f>O121</f>
        <v>0.49999999999999989</v>
      </c>
      <c r="G123" s="239"/>
      <c r="H123" s="21" t="s">
        <v>899</v>
      </c>
      <c r="I123" s="1450">
        <f>R121</f>
        <v>0.49999999999999989</v>
      </c>
      <c r="J123" s="239"/>
      <c r="K123" s="21" t="s">
        <v>899</v>
      </c>
      <c r="L123" s="1450">
        <f>U121</f>
        <v>0.50001217661753961</v>
      </c>
      <c r="M123" s="195"/>
      <c r="N123" s="21" t="s">
        <v>906</v>
      </c>
      <c r="O123" s="806">
        <f t="shared" ref="O123:W123" si="495">TV59</f>
        <v>0.49999999999999989</v>
      </c>
      <c r="P123" s="806">
        <f t="shared" si="495"/>
        <v>0.49999999999999989</v>
      </c>
      <c r="Q123" s="806">
        <f t="shared" si="495"/>
        <v>0.49999999999999989</v>
      </c>
      <c r="R123" s="806">
        <f t="shared" si="495"/>
        <v>0.49999999999999989</v>
      </c>
      <c r="S123" s="806">
        <f t="shared" si="495"/>
        <v>0.50000623829433044</v>
      </c>
      <c r="T123" s="806">
        <f t="shared" si="495"/>
        <v>0.50000719940574057</v>
      </c>
      <c r="U123" s="806">
        <f t="shared" si="495"/>
        <v>0.50000321171834039</v>
      </c>
      <c r="V123" s="806">
        <f t="shared" si="495"/>
        <v>0.42858416033902347</v>
      </c>
      <c r="W123" s="806">
        <f t="shared" si="495"/>
        <v>0.42659983029182263</v>
      </c>
      <c r="X123" s="7"/>
      <c r="Y123" s="6"/>
      <c r="QE123" s="1010">
        <f t="shared" si="476"/>
        <v>0.99999999999999933</v>
      </c>
      <c r="QH123" s="1010">
        <f t="shared" si="477"/>
        <v>0.99999999999999933</v>
      </c>
      <c r="QJ123" s="1010">
        <f t="shared" si="478"/>
        <v>0.99999999999999833</v>
      </c>
      <c r="QL123" s="1010">
        <f t="shared" si="479"/>
        <v>0.99999999999999833</v>
      </c>
      <c r="QN123" s="1010">
        <f t="shared" si="480"/>
        <v>0.99999999999999833</v>
      </c>
      <c r="QP123" s="1010">
        <f t="shared" si="481"/>
        <v>0.99999999999999833</v>
      </c>
      <c r="QZ123" s="1010">
        <f t="shared" si="482"/>
        <v>1.0000000000000002</v>
      </c>
      <c r="SO123" s="1265"/>
    </row>
    <row r="124" spans="3:509" x14ac:dyDescent="0.25">
      <c r="C124" s="5"/>
      <c r="D124" s="1621"/>
      <c r="E124" s="118" t="s">
        <v>901</v>
      </c>
      <c r="F124" s="1450">
        <f>O122</f>
        <v>0.49999999999999989</v>
      </c>
      <c r="G124" s="239"/>
      <c r="H124" s="21" t="s">
        <v>901</v>
      </c>
      <c r="I124" s="1450">
        <f>R122</f>
        <v>0.49999999999999989</v>
      </c>
      <c r="J124" s="239"/>
      <c r="K124" s="21" t="s">
        <v>901</v>
      </c>
      <c r="L124" s="1450">
        <f>U122</f>
        <v>0.50000692403657376</v>
      </c>
      <c r="M124" s="195"/>
      <c r="N124" s="17"/>
      <c r="O124" s="17"/>
      <c r="P124" s="17"/>
      <c r="Q124" s="17"/>
      <c r="R124" s="17"/>
      <c r="S124" s="17"/>
      <c r="T124" s="17"/>
      <c r="U124" s="17"/>
      <c r="V124" s="17"/>
      <c r="W124" s="17"/>
      <c r="X124" s="7"/>
      <c r="Y124" s="6"/>
      <c r="QE124" s="1010">
        <f t="shared" si="476"/>
        <v>0.99999999999999933</v>
      </c>
      <c r="QH124" s="1010">
        <f t="shared" si="477"/>
        <v>0.99999999999999933</v>
      </c>
      <c r="QJ124" s="1010">
        <f t="shared" si="478"/>
        <v>0.99999999999999833</v>
      </c>
      <c r="QL124" s="1010">
        <f t="shared" si="479"/>
        <v>0.99999999999999833</v>
      </c>
      <c r="QN124" s="1010">
        <f t="shared" si="480"/>
        <v>0.99999999999999833</v>
      </c>
      <c r="QP124" s="1010">
        <f t="shared" si="481"/>
        <v>0.99999999999999833</v>
      </c>
      <c r="QZ124" s="1010">
        <f t="shared" si="482"/>
        <v>1.0000000000000002</v>
      </c>
      <c r="SO124" s="1265"/>
    </row>
    <row r="125" spans="3:509" x14ac:dyDescent="0.25">
      <c r="C125" s="5"/>
      <c r="D125" s="1621"/>
      <c r="E125" s="118" t="s">
        <v>906</v>
      </c>
      <c r="F125" s="1451">
        <f>O123</f>
        <v>0.49999999999999989</v>
      </c>
      <c r="G125" s="239"/>
      <c r="H125" s="21" t="s">
        <v>906</v>
      </c>
      <c r="I125" s="1451">
        <f>R123</f>
        <v>0.49999999999999989</v>
      </c>
      <c r="J125" s="239"/>
      <c r="K125" s="21" t="s">
        <v>906</v>
      </c>
      <c r="L125" s="1451">
        <f>U123</f>
        <v>0.50000321171834039</v>
      </c>
      <c r="M125" s="195"/>
      <c r="N125" s="17"/>
      <c r="O125" s="17"/>
      <c r="P125" s="17"/>
      <c r="Q125" s="17"/>
      <c r="R125" s="17"/>
      <c r="S125" s="17"/>
      <c r="T125" s="17"/>
      <c r="U125" s="17"/>
      <c r="V125" s="17"/>
      <c r="W125" s="17"/>
      <c r="X125" s="7"/>
      <c r="Y125" s="6"/>
      <c r="QE125" s="1010">
        <f t="shared" si="476"/>
        <v>0.99999999999999933</v>
      </c>
      <c r="QH125" s="1010">
        <f t="shared" si="477"/>
        <v>0.99999999999999933</v>
      </c>
      <c r="QJ125" s="1010">
        <f t="shared" si="478"/>
        <v>0.99999999999999833</v>
      </c>
      <c r="QL125" s="1010">
        <f t="shared" si="479"/>
        <v>0.99999999999999833</v>
      </c>
      <c r="QN125" s="1010">
        <f t="shared" si="480"/>
        <v>0.99999999999999833</v>
      </c>
      <c r="QP125" s="1010">
        <f t="shared" si="481"/>
        <v>0.99999999999999833</v>
      </c>
      <c r="QZ125" s="1010">
        <f t="shared" si="482"/>
        <v>1.0000000000000002</v>
      </c>
      <c r="SO125" s="1265"/>
    </row>
    <row r="126" spans="3:509" x14ac:dyDescent="0.25">
      <c r="C126" s="5"/>
      <c r="D126" s="1621"/>
      <c r="E126" s="1420"/>
      <c r="F126" s="1257"/>
      <c r="G126" s="260"/>
      <c r="H126" s="257"/>
      <c r="I126" s="1257"/>
      <c r="J126" s="260"/>
      <c r="K126" s="257"/>
      <c r="L126" s="1257"/>
      <c r="M126" s="1421"/>
      <c r="N126" s="17"/>
      <c r="O126" s="17"/>
      <c r="P126" s="17"/>
      <c r="Q126" s="17"/>
      <c r="R126" s="17"/>
      <c r="S126" s="17"/>
      <c r="T126" s="17"/>
      <c r="U126" s="17"/>
      <c r="V126" s="17"/>
      <c r="W126" s="17"/>
      <c r="X126" s="7"/>
      <c r="Y126" s="6"/>
      <c r="QE126" s="1010">
        <f t="shared" si="476"/>
        <v>0.99999999999999933</v>
      </c>
      <c r="QH126" s="1010">
        <f t="shared" si="477"/>
        <v>0.99999999999999933</v>
      </c>
      <c r="QJ126" s="1010">
        <f t="shared" si="478"/>
        <v>0.99999999999999833</v>
      </c>
      <c r="QL126" s="1010">
        <f t="shared" si="479"/>
        <v>0.99999999999999833</v>
      </c>
      <c r="QN126" s="1010">
        <f t="shared" si="480"/>
        <v>0.99999999999999833</v>
      </c>
      <c r="QP126" s="1010">
        <f t="shared" si="481"/>
        <v>0.99999999999999833</v>
      </c>
      <c r="QZ126" s="1010">
        <f t="shared" si="482"/>
        <v>1.0000000000000002</v>
      </c>
      <c r="SO126" s="1265"/>
    </row>
    <row r="127" spans="3:509" x14ac:dyDescent="0.25">
      <c r="C127" s="5"/>
      <c r="D127" s="1621" t="s">
        <v>1126</v>
      </c>
      <c r="E127" s="648" t="s">
        <v>1116</v>
      </c>
      <c r="F127" s="1251"/>
      <c r="G127" s="239"/>
      <c r="H127" s="17" t="s">
        <v>1119</v>
      </c>
      <c r="I127" s="1251"/>
      <c r="J127" s="239"/>
      <c r="K127" s="17" t="s">
        <v>1122</v>
      </c>
      <c r="L127" s="1251"/>
      <c r="M127" s="195"/>
      <c r="N127" s="17"/>
      <c r="O127" s="17"/>
      <c r="P127" s="17"/>
      <c r="Q127" s="17"/>
      <c r="R127" s="17"/>
      <c r="S127" s="17"/>
      <c r="T127" s="17"/>
      <c r="U127" s="17"/>
      <c r="V127" s="17"/>
      <c r="W127" s="7"/>
      <c r="X127" s="7"/>
      <c r="Y127" s="6"/>
      <c r="QE127" s="1010">
        <f t="shared" si="476"/>
        <v>0.99999999999999933</v>
      </c>
      <c r="QH127" s="1010">
        <f t="shared" si="477"/>
        <v>0.99999999999999933</v>
      </c>
      <c r="QJ127" s="1010">
        <f t="shared" si="478"/>
        <v>0.99999999999999833</v>
      </c>
      <c r="QL127" s="1010">
        <f t="shared" si="479"/>
        <v>0.99999999999999833</v>
      </c>
      <c r="QN127" s="1010">
        <f t="shared" si="480"/>
        <v>0.99999999999999833</v>
      </c>
      <c r="QP127" s="1010">
        <f t="shared" si="481"/>
        <v>0.99999999999999833</v>
      </c>
      <c r="QZ127" s="1010">
        <f t="shared" si="482"/>
        <v>1.0000000000000002</v>
      </c>
      <c r="SO127" s="1265"/>
    </row>
    <row r="128" spans="3:509" x14ac:dyDescent="0.25">
      <c r="C128" s="5"/>
      <c r="D128" s="1621"/>
      <c r="E128" s="118" t="s">
        <v>897</v>
      </c>
      <c r="F128" s="1448">
        <f>P120</f>
        <v>0.49999999999999989</v>
      </c>
      <c r="G128" s="239"/>
      <c r="H128" s="21" t="s">
        <v>897</v>
      </c>
      <c r="I128" s="1448">
        <f>S120</f>
        <v>0.99999974064358332</v>
      </c>
      <c r="J128" s="239"/>
      <c r="K128" s="21" t="s">
        <v>897</v>
      </c>
      <c r="L128" s="1448">
        <f>V120</f>
        <v>2.9627249984175864E-7</v>
      </c>
      <c r="M128" s="195"/>
      <c r="N128" s="17"/>
      <c r="Y128" s="6"/>
      <c r="QE128" s="1010">
        <f t="shared" si="476"/>
        <v>0.99999999999999933</v>
      </c>
      <c r="QH128" s="1010">
        <f t="shared" si="477"/>
        <v>0.99999999999999933</v>
      </c>
      <c r="QJ128" s="1010">
        <f t="shared" si="478"/>
        <v>0.99999999999999833</v>
      </c>
      <c r="QL128" s="1010">
        <f t="shared" si="479"/>
        <v>0.99999999999999833</v>
      </c>
      <c r="QN128" s="1010">
        <f t="shared" si="480"/>
        <v>0.99999999999999833</v>
      </c>
      <c r="QP128" s="1010">
        <f t="shared" si="481"/>
        <v>0.99999999999999833</v>
      </c>
      <c r="QZ128" s="1010">
        <f t="shared" si="482"/>
        <v>1.0000000000000002</v>
      </c>
      <c r="SO128" s="1265"/>
    </row>
    <row r="129" spans="3:509" x14ac:dyDescent="0.25">
      <c r="C129" s="5"/>
      <c r="D129" s="1621"/>
      <c r="E129" s="118" t="s">
        <v>899</v>
      </c>
      <c r="F129" s="1450">
        <f>P121</f>
        <v>0.49999999999999989</v>
      </c>
      <c r="G129" s="239"/>
      <c r="H129" s="21" t="s">
        <v>899</v>
      </c>
      <c r="I129" s="1450">
        <f>S121</f>
        <v>0.50001426841228447</v>
      </c>
      <c r="J129" s="239"/>
      <c r="K129" s="21" t="s">
        <v>899</v>
      </c>
      <c r="L129" s="1450">
        <f>V121</f>
        <v>0.42856283942909446</v>
      </c>
      <c r="M129" s="195"/>
      <c r="N129" s="17"/>
      <c r="Y129" s="6"/>
      <c r="SO129" s="1265"/>
    </row>
    <row r="130" spans="3:509" x14ac:dyDescent="0.25">
      <c r="C130" s="5"/>
      <c r="D130" s="1621"/>
      <c r="E130" s="118" t="s">
        <v>901</v>
      </c>
      <c r="F130" s="1450">
        <f>P122</f>
        <v>0.49999999999999989</v>
      </c>
      <c r="G130" s="239"/>
      <c r="H130" s="21" t="s">
        <v>901</v>
      </c>
      <c r="I130" s="1450">
        <f>S122</f>
        <v>0.50000622259233019</v>
      </c>
      <c r="J130" s="239"/>
      <c r="K130" s="21" t="s">
        <v>901</v>
      </c>
      <c r="L130" s="1450">
        <f>V122</f>
        <v>0.42858766057176956</v>
      </c>
      <c r="M130" s="195"/>
      <c r="N130" s="17"/>
      <c r="Y130" s="6"/>
      <c r="SO130" s="1265"/>
    </row>
    <row r="131" spans="3:509" x14ac:dyDescent="0.25">
      <c r="C131" s="5"/>
      <c r="D131" s="1621"/>
      <c r="E131" s="118" t="s">
        <v>906</v>
      </c>
      <c r="F131" s="1451">
        <f>P123</f>
        <v>0.49999999999999989</v>
      </c>
      <c r="G131" s="239"/>
      <c r="H131" s="21" t="s">
        <v>906</v>
      </c>
      <c r="I131" s="1451">
        <f>S123</f>
        <v>0.50000623829433044</v>
      </c>
      <c r="J131" s="239"/>
      <c r="K131" s="21" t="s">
        <v>906</v>
      </c>
      <c r="L131" s="1451">
        <f>V123</f>
        <v>0.42858416033902347</v>
      </c>
      <c r="M131" s="195"/>
      <c r="N131" s="17"/>
      <c r="Y131" s="6"/>
      <c r="AE131" s="84" t="s">
        <v>172</v>
      </c>
      <c r="AF131" s="84" t="s">
        <v>73</v>
      </c>
      <c r="AG131" t="s">
        <v>398</v>
      </c>
    </row>
    <row r="132" spans="3:509" x14ac:dyDescent="0.25">
      <c r="C132" s="5"/>
      <c r="D132" s="1621"/>
      <c r="E132" s="1420"/>
      <c r="F132" s="1257"/>
      <c r="G132" s="260"/>
      <c r="H132" s="257"/>
      <c r="I132" s="1257"/>
      <c r="J132" s="260"/>
      <c r="K132" s="257"/>
      <c r="L132" s="1257"/>
      <c r="M132" s="1421"/>
      <c r="N132" s="17"/>
      <c r="O132" s="17"/>
      <c r="P132" s="1617" t="s">
        <v>1075</v>
      </c>
      <c r="Q132" s="1618"/>
      <c r="R132" s="1619"/>
      <c r="S132" s="1617" t="s">
        <v>1129</v>
      </c>
      <c r="T132" s="1618"/>
      <c r="U132" s="1619"/>
      <c r="Y132" s="6"/>
      <c r="AE132" s="1489">
        <f>L135*100</f>
        <v>42.659983029182264</v>
      </c>
      <c r="AF132" s="1489">
        <v>25</v>
      </c>
      <c r="AG132" s="1199">
        <f>(AE132-AF132)^2</f>
        <v>311.87500059100557</v>
      </c>
      <c r="AI132" t="s">
        <v>1156</v>
      </c>
    </row>
    <row r="133" spans="3:509" ht="15.75" thickBot="1" x14ac:dyDescent="0.3">
      <c r="C133" s="5"/>
      <c r="D133" s="1621" t="s">
        <v>1127</v>
      </c>
      <c r="E133" s="648" t="s">
        <v>1117</v>
      </c>
      <c r="F133" s="1251"/>
      <c r="G133" s="239"/>
      <c r="H133" s="17" t="s">
        <v>1120</v>
      </c>
      <c r="I133" s="1251"/>
      <c r="J133" s="239"/>
      <c r="K133" s="17" t="s">
        <v>1123</v>
      </c>
      <c r="L133" s="1251"/>
      <c r="M133" s="195"/>
      <c r="N133" s="17"/>
      <c r="O133" s="17"/>
      <c r="P133" s="1620"/>
      <c r="Q133" s="1621"/>
      <c r="R133" s="1622"/>
      <c r="S133" s="1620"/>
      <c r="T133" s="1621"/>
      <c r="U133" s="1622"/>
      <c r="Y133" s="6"/>
      <c r="AE133" s="1489">
        <f>L168*100</f>
        <v>7.6893314885550197</v>
      </c>
      <c r="AF133" s="1489">
        <v>26</v>
      </c>
      <c r="AG133" s="1199">
        <f>(AE133-AF133)^2</f>
        <v>335.28058133602275</v>
      </c>
      <c r="AI133" t="s">
        <v>1157</v>
      </c>
    </row>
    <row r="134" spans="3:509" x14ac:dyDescent="0.25">
      <c r="C134" s="5"/>
      <c r="D134" s="1621"/>
      <c r="E134" s="118" t="s">
        <v>897</v>
      </c>
      <c r="F134" s="1448">
        <f>Q120</f>
        <v>0.49999999999999989</v>
      </c>
      <c r="G134" s="239"/>
      <c r="H134" s="21" t="s">
        <v>897</v>
      </c>
      <c r="I134" s="1448">
        <f>T120</f>
        <v>0.50005703888310882</v>
      </c>
      <c r="J134" s="239"/>
      <c r="K134" s="21" t="s">
        <v>897</v>
      </c>
      <c r="L134" s="1448">
        <f>W120</f>
        <v>0.99999999999999845</v>
      </c>
      <c r="M134" s="195"/>
      <c r="N134" s="17"/>
      <c r="O134" s="1617" t="s">
        <v>1125</v>
      </c>
      <c r="P134" s="933" t="s">
        <v>1115</v>
      </c>
      <c r="Q134" s="251"/>
      <c r="R134" s="249"/>
      <c r="S134" s="933" t="s">
        <v>1121</v>
      </c>
      <c r="T134" s="251"/>
      <c r="U134" s="249"/>
      <c r="Y134" s="6"/>
      <c r="AA134" s="9" t="s">
        <v>1164</v>
      </c>
      <c r="AB134" s="10"/>
      <c r="AC134" s="10"/>
      <c r="AD134" s="11"/>
      <c r="FW134" s="110" t="s">
        <v>1072</v>
      </c>
    </row>
    <row r="135" spans="3:509" ht="15.75" thickBot="1" x14ac:dyDescent="0.3">
      <c r="C135" s="5"/>
      <c r="D135" s="1621"/>
      <c r="E135" s="118" t="s">
        <v>899</v>
      </c>
      <c r="F135" s="1450">
        <f>Q121</f>
        <v>0.49999999999999989</v>
      </c>
      <c r="G135" s="239"/>
      <c r="H135" s="21" t="s">
        <v>899</v>
      </c>
      <c r="I135" s="1450">
        <f>T121</f>
        <v>0.50001729174350262</v>
      </c>
      <c r="J135" s="239"/>
      <c r="K135" s="21" t="s">
        <v>899</v>
      </c>
      <c r="L135" s="1450">
        <f>W121</f>
        <v>0.42659983029182263</v>
      </c>
      <c r="M135" s="195"/>
      <c r="N135" s="17"/>
      <c r="O135" s="1620"/>
      <c r="P135" s="648"/>
      <c r="Q135" s="21" t="s">
        <v>1149</v>
      </c>
      <c r="R135" s="1482">
        <f>F122*$B$22+$C$22</f>
        <v>25499.999999999996</v>
      </c>
      <c r="S135" s="118"/>
      <c r="T135" s="21" t="s">
        <v>1149</v>
      </c>
      <c r="U135" s="1482">
        <f>L122*$B$22+$C$22</f>
        <v>25501.182860395991</v>
      </c>
      <c r="Y135" s="6"/>
      <c r="AA135" s="114"/>
      <c r="AB135" s="7"/>
      <c r="AC135" s="7"/>
      <c r="AD135" s="100"/>
      <c r="AG135" s="84" t="s">
        <v>1154</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60.660041118267671</v>
      </c>
      <c r="DF135">
        <v>60.66014157602838</v>
      </c>
      <c r="DG135">
        <v>60.660134918096297</v>
      </c>
      <c r="DH135">
        <v>60.660223160873848</v>
      </c>
      <c r="DI135">
        <v>60.660274432993951</v>
      </c>
      <c r="DJ135">
        <v>60.660341112872388</v>
      </c>
      <c r="DK135">
        <v>60.660347268009467</v>
      </c>
      <c r="DL135">
        <v>60.660491136968723</v>
      </c>
      <c r="DM135">
        <v>60.659678077094959</v>
      </c>
      <c r="DN135">
        <v>60.659706484683007</v>
      </c>
      <c r="DO135">
        <v>60.660560735713638</v>
      </c>
      <c r="DP135">
        <v>60.659763583485514</v>
      </c>
      <c r="DQ135">
        <v>60.659850233912678</v>
      </c>
      <c r="DR135">
        <v>60.660636841596833</v>
      </c>
      <c r="DS135">
        <v>60.659946364144034</v>
      </c>
      <c r="DT135">
        <v>60.66073634313183</v>
      </c>
      <c r="DU135">
        <v>60.660865398628275</v>
      </c>
      <c r="DV135">
        <v>60.660868900569945</v>
      </c>
      <c r="DW135">
        <v>60.660953198602854</v>
      </c>
      <c r="DX135">
        <v>60.661026150440037</v>
      </c>
      <c r="DY135">
        <v>60.661056081273891</v>
      </c>
      <c r="DZ135">
        <v>60.661080785748467</v>
      </c>
      <c r="EA135">
        <v>60.661158374334143</v>
      </c>
      <c r="EB135">
        <v>60.661170918558277</v>
      </c>
      <c r="EC135">
        <v>60.661200646942355</v>
      </c>
      <c r="ED135">
        <v>60.661252608567743</v>
      </c>
      <c r="EE135">
        <v>60.66132389571203</v>
      </c>
      <c r="EF135">
        <v>60.661443469283711</v>
      </c>
      <c r="EG135">
        <v>60.661416997112454</v>
      </c>
      <c r="EH135">
        <v>60.661480017479853</v>
      </c>
      <c r="EI135">
        <v>60.661555835312043</v>
      </c>
      <c r="EJ135">
        <v>60.661565220402743</v>
      </c>
      <c r="EK135">
        <v>60.661669956441145</v>
      </c>
      <c r="EL135">
        <v>60.661676386061416</v>
      </c>
      <c r="EM135">
        <v>60.661674004116783</v>
      </c>
      <c r="EN135">
        <v>60.661763381310791</v>
      </c>
      <c r="EO135">
        <v>60.661810082696242</v>
      </c>
      <c r="EP135">
        <v>60.661833816421883</v>
      </c>
      <c r="EQ135">
        <v>60.661926682285461</v>
      </c>
      <c r="ER135">
        <v>60.661974306364357</v>
      </c>
      <c r="ES135">
        <v>60.66202453167211</v>
      </c>
      <c r="ET135">
        <v>60.662103538418407</v>
      </c>
      <c r="EU135" s="110">
        <v>60.662204035159824</v>
      </c>
      <c r="EV135" s="110">
        <v>60.66218569738556</v>
      </c>
      <c r="EW135" s="110">
        <v>60.661421530635259</v>
      </c>
      <c r="EX135" s="110">
        <v>60.662273156050453</v>
      </c>
      <c r="EY135" s="110">
        <v>60.662270663855566</v>
      </c>
      <c r="EZ135" s="110">
        <v>2.4562158271361506E-8</v>
      </c>
      <c r="FA135" s="110">
        <v>0</v>
      </c>
      <c r="FB135" s="110">
        <v>0</v>
      </c>
      <c r="FC135" s="110">
        <v>0</v>
      </c>
      <c r="FD135" s="110">
        <v>0</v>
      </c>
      <c r="FE135" s="110">
        <v>0</v>
      </c>
      <c r="FF135" s="110">
        <v>0</v>
      </c>
      <c r="FG135" s="110">
        <v>0</v>
      </c>
      <c r="FH135" s="110">
        <v>0</v>
      </c>
      <c r="FI135" s="110">
        <v>0</v>
      </c>
      <c r="FJ135" s="110">
        <v>4.0410117034835207E-2</v>
      </c>
      <c r="FK135" s="110">
        <v>0</v>
      </c>
      <c r="FL135" s="110">
        <v>5.3611999084731653E-3</v>
      </c>
      <c r="FM135" s="110">
        <v>0</v>
      </c>
      <c r="FN135" s="110">
        <v>4.7010346231834676E-7</v>
      </c>
      <c r="FO135" s="110">
        <v>0</v>
      </c>
      <c r="FP135" s="110">
        <v>8.6067622856811742E-7</v>
      </c>
      <c r="FQ135" s="110">
        <v>142.42381053584</v>
      </c>
      <c r="FR135" s="110">
        <v>2.4399953056006946E-4</v>
      </c>
      <c r="FS135" s="110">
        <v>2.3994649993513918E-4</v>
      </c>
      <c r="FT135" s="110">
        <v>5.4801739816582717E-3</v>
      </c>
      <c r="FU135" s="110">
        <v>0</v>
      </c>
      <c r="FV135" s="110">
        <v>0</v>
      </c>
      <c r="FW135" s="110">
        <v>0</v>
      </c>
      <c r="FX135" s="110">
        <v>141.24086077105611</v>
      </c>
      <c r="FY135" s="110" t="s">
        <v>1072</v>
      </c>
    </row>
    <row r="136" spans="3:509" ht="15.75" thickBot="1" x14ac:dyDescent="0.3">
      <c r="C136" s="5"/>
      <c r="D136" s="1621"/>
      <c r="E136" s="118" t="s">
        <v>901</v>
      </c>
      <c r="F136" s="1450">
        <f>Q122</f>
        <v>0.49999999999999989</v>
      </c>
      <c r="G136" s="239"/>
      <c r="H136" s="21" t="s">
        <v>901</v>
      </c>
      <c r="I136" s="1450">
        <f>T122</f>
        <v>0.50001228742479464</v>
      </c>
      <c r="J136" s="239"/>
      <c r="K136" s="21" t="s">
        <v>901</v>
      </c>
      <c r="L136" s="1450">
        <f>W122</f>
        <v>0.42659983029182263</v>
      </c>
      <c r="M136" s="195"/>
      <c r="N136" s="17"/>
      <c r="O136" s="1620"/>
      <c r="P136" s="648"/>
      <c r="Q136" s="21" t="s">
        <v>1150</v>
      </c>
      <c r="R136" s="1491">
        <f>F123*$B$27+$C$27</f>
        <v>0.89</v>
      </c>
      <c r="S136" s="118"/>
      <c r="T136" s="21" t="s">
        <v>1150</v>
      </c>
      <c r="U136" s="1491">
        <f>L123*$B$27+$C$27</f>
        <v>0.89000219179115714</v>
      </c>
      <c r="Y136" s="6"/>
      <c r="AA136" s="1492">
        <f>F155/F122</f>
        <v>1</v>
      </c>
      <c r="AB136" s="309"/>
      <c r="AC136" s="309"/>
      <c r="AD136" s="1493">
        <f>L155/L122</f>
        <v>0.99999999969833675</v>
      </c>
      <c r="AG136" s="1499">
        <f>(AG132+AG133)*1000+AG139</f>
        <v>647155.77751326677</v>
      </c>
      <c r="AI136" t="s">
        <v>1155</v>
      </c>
      <c r="AK136" s="671">
        <v>0</v>
      </c>
      <c r="AL136" s="671">
        <v>0</v>
      </c>
      <c r="AM136" s="671">
        <v>0</v>
      </c>
      <c r="AN136" s="671">
        <v>0</v>
      </c>
      <c r="AO136" s="671">
        <v>0</v>
      </c>
      <c r="AP136" s="671">
        <v>0</v>
      </c>
      <c r="AQ136" s="671">
        <v>0</v>
      </c>
      <c r="AR136" s="671">
        <v>0</v>
      </c>
      <c r="AS136" s="671">
        <v>0</v>
      </c>
      <c r="AT136" s="671">
        <v>0</v>
      </c>
      <c r="AU136" s="671">
        <v>0</v>
      </c>
      <c r="AV136" s="671">
        <v>0</v>
      </c>
      <c r="AW136" s="671">
        <v>0</v>
      </c>
      <c r="AX136" s="671">
        <v>0</v>
      </c>
      <c r="AY136" s="671">
        <v>0</v>
      </c>
      <c r="AZ136" s="671">
        <v>0</v>
      </c>
      <c r="BA136" s="671">
        <v>0</v>
      </c>
      <c r="BB136" s="671">
        <v>0</v>
      </c>
      <c r="BC136" s="671">
        <v>0</v>
      </c>
      <c r="BD136" s="671">
        <v>0</v>
      </c>
      <c r="BE136" s="671">
        <v>0</v>
      </c>
      <c r="BF136" s="671">
        <v>0</v>
      </c>
      <c r="BG136" s="671">
        <v>0</v>
      </c>
      <c r="BH136" s="671">
        <v>0</v>
      </c>
      <c r="BI136" s="671">
        <v>0</v>
      </c>
      <c r="BJ136" s="671">
        <v>0</v>
      </c>
      <c r="BK136" s="671">
        <v>0</v>
      </c>
      <c r="BL136" s="671">
        <v>0</v>
      </c>
      <c r="BM136" s="671">
        <v>0</v>
      </c>
      <c r="BN136" s="671">
        <v>0</v>
      </c>
      <c r="BO136" s="671">
        <v>0</v>
      </c>
      <c r="BP136" s="671">
        <v>0</v>
      </c>
      <c r="BQ136" s="671">
        <v>0</v>
      </c>
      <c r="BR136" s="671">
        <v>0</v>
      </c>
      <c r="BS136" s="671">
        <v>0</v>
      </c>
      <c r="BT136" s="671">
        <v>0</v>
      </c>
      <c r="BU136" s="671">
        <v>0</v>
      </c>
      <c r="BV136" s="671">
        <v>0</v>
      </c>
      <c r="BW136" s="671">
        <v>0</v>
      </c>
      <c r="BX136" s="671">
        <v>0</v>
      </c>
      <c r="BY136" s="671">
        <v>0</v>
      </c>
      <c r="BZ136" s="671">
        <v>0</v>
      </c>
      <c r="CA136" s="671">
        <v>0</v>
      </c>
      <c r="CB136" s="671">
        <v>0</v>
      </c>
      <c r="CC136" s="671">
        <v>0</v>
      </c>
      <c r="CD136" s="671">
        <v>0</v>
      </c>
      <c r="CE136" s="671">
        <v>0</v>
      </c>
      <c r="CF136" s="671">
        <v>0</v>
      </c>
      <c r="CG136" s="671">
        <v>0</v>
      </c>
      <c r="CH136" s="671">
        <v>0</v>
      </c>
      <c r="CI136" s="671">
        <v>0</v>
      </c>
      <c r="CJ136" s="671">
        <v>0</v>
      </c>
      <c r="CK136" s="671">
        <v>0</v>
      </c>
      <c r="CL136" s="671">
        <v>0</v>
      </c>
      <c r="CM136" s="671">
        <v>0</v>
      </c>
      <c r="CN136" s="671">
        <v>0</v>
      </c>
      <c r="CO136" s="671">
        <v>0</v>
      </c>
      <c r="CP136" s="671">
        <v>0</v>
      </c>
      <c r="CQ136" s="671">
        <v>0</v>
      </c>
      <c r="CR136" s="671">
        <v>0</v>
      </c>
      <c r="CS136" s="671">
        <v>0</v>
      </c>
      <c r="CT136" s="671">
        <v>0</v>
      </c>
      <c r="CU136" s="671">
        <v>0</v>
      </c>
      <c r="CV136" s="671">
        <v>0</v>
      </c>
      <c r="CW136" s="671">
        <v>0</v>
      </c>
      <c r="CX136" s="671">
        <v>0</v>
      </c>
      <c r="CY136" s="671">
        <v>0</v>
      </c>
      <c r="CZ136" s="671">
        <v>0</v>
      </c>
      <c r="DA136" s="671">
        <v>0</v>
      </c>
      <c r="DB136" s="671">
        <v>0</v>
      </c>
      <c r="DC136" s="671">
        <v>0</v>
      </c>
      <c r="DD136" s="671">
        <v>0</v>
      </c>
      <c r="DE136" s="671">
        <v>1.9330621228354131E-8</v>
      </c>
      <c r="DF136" s="671">
        <v>1.0063887826092695E-10</v>
      </c>
      <c r="DG136" s="671">
        <v>1.0976090989808676E-10</v>
      </c>
      <c r="DH136" s="671">
        <v>9.8070470236082979E-7</v>
      </c>
      <c r="DI136" s="671">
        <v>3.8246627118830638E-8</v>
      </c>
      <c r="DJ136" s="671">
        <v>3.8206949835941752E-8</v>
      </c>
      <c r="DK136" s="671">
        <v>7.6148172409838417E-12</v>
      </c>
      <c r="DL136" s="671">
        <v>9.7172966355649734E-9</v>
      </c>
      <c r="DM136" s="671">
        <v>5.2287637606818908E-8</v>
      </c>
      <c r="DN136" s="671">
        <v>1.933054859969724E-8</v>
      </c>
      <c r="DO136" s="671">
        <v>1.0968705613445678E-10</v>
      </c>
      <c r="DP136" s="671">
        <v>1.0071410899307972E-10</v>
      </c>
      <c r="DQ136" s="671">
        <v>2.3089810852884541E-8</v>
      </c>
      <c r="DR136" s="671">
        <v>2.3089810573082818E-8</v>
      </c>
      <c r="DS136" s="671">
        <v>2.3089810852884541E-8</v>
      </c>
      <c r="DT136" s="671">
        <v>2.3089810852884541E-8</v>
      </c>
      <c r="DU136" s="671">
        <v>2.3089810573082818E-8</v>
      </c>
      <c r="DV136" s="671">
        <v>2.3089810852884541E-8</v>
      </c>
      <c r="DW136" s="671">
        <v>2.3089810852884541E-8</v>
      </c>
      <c r="DX136" s="671">
        <v>2.3089810573082818E-8</v>
      </c>
      <c r="DY136" s="671">
        <v>2.3089810852884541E-8</v>
      </c>
      <c r="DZ136" s="671">
        <v>2.3089810852884541E-8</v>
      </c>
      <c r="EA136" s="671">
        <v>2.3089810573082818E-8</v>
      </c>
      <c r="EB136" s="671">
        <v>2.3089810852884541E-8</v>
      </c>
      <c r="EC136" s="671">
        <v>2.3089810852884541E-8</v>
      </c>
      <c r="ED136" s="671">
        <v>3.8246627488685893E-8</v>
      </c>
      <c r="EE136" s="671">
        <v>1.651552551182057E-11</v>
      </c>
      <c r="EF136" s="671">
        <v>7.4929796527561763E-12</v>
      </c>
      <c r="EG136" s="671">
        <v>7.5263251439566624E-12</v>
      </c>
      <c r="EH136" s="671">
        <v>0</v>
      </c>
      <c r="EI136" s="671">
        <v>1.9266252165824219E-8</v>
      </c>
      <c r="EJ136" s="671">
        <v>9.6494788163966087E-9</v>
      </c>
      <c r="EK136" s="671">
        <v>2.3050850347006123E-8</v>
      </c>
      <c r="EL136" s="671">
        <v>3.8207095351544653E-8</v>
      </c>
      <c r="EM136" s="671">
        <v>9.6404309723017057E-9</v>
      </c>
      <c r="EN136" s="671">
        <v>1.6540823747659183E-11</v>
      </c>
      <c r="EO136" s="671">
        <v>9.7333962043684094E-15</v>
      </c>
      <c r="EP136" s="671">
        <v>1.7198614655304363E-13</v>
      </c>
      <c r="EQ136" s="671">
        <v>2.7168830520335875E-11</v>
      </c>
      <c r="ER136" s="671">
        <v>3.4601072499080418E-11</v>
      </c>
      <c r="ES136" s="671">
        <v>3.7942239175313483E-8</v>
      </c>
      <c r="ET136" s="671">
        <v>3.7972219337914038E-8</v>
      </c>
      <c r="EU136" s="671">
        <v>3.7972218778562821E-8</v>
      </c>
      <c r="EV136" s="671">
        <v>3.7972219058616762E-8</v>
      </c>
      <c r="EW136" s="671">
        <v>3.7972218778815045E-8</v>
      </c>
      <c r="EX136" s="671">
        <v>3.7972219337661814E-8</v>
      </c>
      <c r="EY136" s="671">
        <v>3.7972219617715755E-8</v>
      </c>
      <c r="EZ136" s="671">
        <v>745.21282696462379</v>
      </c>
      <c r="FA136" s="671">
        <v>745.07907436867026</v>
      </c>
      <c r="FB136" s="671">
        <v>745.19045640406603</v>
      </c>
      <c r="FC136" s="671">
        <v>745.18969133465509</v>
      </c>
      <c r="FD136" s="671">
        <v>745.17793935555915</v>
      </c>
      <c r="FE136" s="671">
        <v>1249.4752423732416</v>
      </c>
      <c r="FF136" s="671">
        <v>819.87114286575502</v>
      </c>
      <c r="FG136" s="671">
        <v>819.87012114999027</v>
      </c>
      <c r="FH136" s="671">
        <v>859.42807630413029</v>
      </c>
      <c r="FI136" s="1200">
        <v>2099.1908383132436</v>
      </c>
      <c r="FJ136" s="1200">
        <v>748.72346861288202</v>
      </c>
      <c r="FK136" s="1200">
        <v>748.24086263261245</v>
      </c>
      <c r="FL136" s="1200">
        <v>826.03376325537442</v>
      </c>
      <c r="FM136" s="1200">
        <v>331.68564246633252</v>
      </c>
      <c r="FN136" s="1200">
        <v>466.47772770568878</v>
      </c>
      <c r="FO136" s="1200">
        <v>466.21878230044399</v>
      </c>
      <c r="FP136" s="1200">
        <v>616.03254607368444</v>
      </c>
      <c r="FQ136" s="1200">
        <v>559.01705634411269</v>
      </c>
      <c r="FR136" s="1200">
        <v>686.7017163756442</v>
      </c>
      <c r="FS136" s="1200">
        <v>686.28768717459263</v>
      </c>
      <c r="FT136" s="1200">
        <v>824.97785491091759</v>
      </c>
      <c r="FU136" s="1200">
        <v>907.34547374710633</v>
      </c>
      <c r="FV136" s="1200">
        <v>1038.3342995327534</v>
      </c>
      <c r="FW136" s="1200">
        <v>1038.8123576915609</v>
      </c>
      <c r="FX136" s="1200">
        <v>1948.0086740508634</v>
      </c>
      <c r="FY136" s="110" t="s">
        <v>1072</v>
      </c>
    </row>
    <row r="137" spans="3:509" x14ac:dyDescent="0.25">
      <c r="C137" s="5"/>
      <c r="D137" s="1621"/>
      <c r="E137" s="118" t="s">
        <v>906</v>
      </c>
      <c r="F137" s="1451">
        <f>Q123</f>
        <v>0.49999999999999989</v>
      </c>
      <c r="G137" s="239"/>
      <c r="H137" s="21" t="s">
        <v>906</v>
      </c>
      <c r="I137" s="1451">
        <f>T123</f>
        <v>0.50000719940574057</v>
      </c>
      <c r="J137" s="239"/>
      <c r="K137" s="21" t="s">
        <v>906</v>
      </c>
      <c r="L137" s="1451">
        <f>W123</f>
        <v>0.42659983029182263</v>
      </c>
      <c r="M137" s="195"/>
      <c r="N137" s="17"/>
      <c r="O137" s="1620"/>
      <c r="P137" s="648"/>
      <c r="Q137" s="21" t="s">
        <v>1152</v>
      </c>
      <c r="R137" s="1483">
        <f>F124*$B$33+$C$33</f>
        <v>30</v>
      </c>
      <c r="S137" s="118"/>
      <c r="T137" s="21" t="s">
        <v>1152</v>
      </c>
      <c r="U137" s="1483">
        <f>L124*$B$33+$C$33</f>
        <v>30.000138480731476</v>
      </c>
      <c r="Y137" s="6"/>
      <c r="AA137" s="1492">
        <f>F156/F123</f>
        <v>1</v>
      </c>
      <c r="AB137" s="309"/>
      <c r="AC137" s="309"/>
      <c r="AD137" s="1493">
        <f>L156/L123</f>
        <v>0.99999999838613118</v>
      </c>
      <c r="FW137" s="110" t="s">
        <v>1072</v>
      </c>
    </row>
    <row r="138" spans="3:509" ht="15.75" thickBot="1" x14ac:dyDescent="0.3">
      <c r="C138" s="5"/>
      <c r="D138" s="1621"/>
      <c r="E138" s="859"/>
      <c r="F138" s="252"/>
      <c r="G138" s="1419"/>
      <c r="H138" s="252"/>
      <c r="I138" s="252"/>
      <c r="J138" s="1419"/>
      <c r="K138" s="252"/>
      <c r="L138" s="252"/>
      <c r="M138" s="250"/>
      <c r="N138" s="17"/>
      <c r="O138" s="1620"/>
      <c r="P138" s="648"/>
      <c r="Q138" s="21" t="s">
        <v>1153</v>
      </c>
      <c r="R138" s="1484">
        <f>F125*$B$39+$C$39</f>
        <v>67500</v>
      </c>
      <c r="S138" s="118"/>
      <c r="T138" s="21" t="s">
        <v>1153</v>
      </c>
      <c r="U138" s="1484">
        <f>L125*$B$39+$C$39</f>
        <v>67500.080292958504</v>
      </c>
      <c r="Y138" s="6"/>
      <c r="AA138" s="1492">
        <f>F157/F124</f>
        <v>1</v>
      </c>
      <c r="AB138" s="309"/>
      <c r="AC138" s="309"/>
      <c r="AD138" s="1493">
        <f>L157/L124</f>
        <v>0.99999999868843226</v>
      </c>
      <c r="AI138" t="s">
        <v>1159</v>
      </c>
      <c r="FW138" s="110" t="s">
        <v>1072</v>
      </c>
    </row>
    <row r="139" spans="3:509" ht="15.75" thickBot="1" x14ac:dyDescent="0.3">
      <c r="C139" s="5"/>
      <c r="D139" s="7"/>
      <c r="E139" s="17"/>
      <c r="F139" s="17"/>
      <c r="G139" s="17"/>
      <c r="H139" s="17"/>
      <c r="I139" s="17"/>
      <c r="J139" s="17"/>
      <c r="K139" s="17"/>
      <c r="L139" s="17"/>
      <c r="M139" s="17"/>
      <c r="N139" s="17"/>
      <c r="O139" s="1623"/>
      <c r="P139" s="859"/>
      <c r="Q139" s="1259"/>
      <c r="R139" s="250"/>
      <c r="S139" s="859"/>
      <c r="T139" s="1259"/>
      <c r="U139" s="250"/>
      <c r="Y139" s="6"/>
      <c r="AA139" s="1492">
        <f>F158/F125</f>
        <v>1</v>
      </c>
      <c r="AB139" s="309"/>
      <c r="AC139" s="309"/>
      <c r="AD139" s="1493">
        <f>L158/L125</f>
        <v>1.0000000001728377</v>
      </c>
      <c r="AG139" s="1488">
        <f>(1/10000)*(AL149+1)</f>
        <v>0.19558623837800873</v>
      </c>
      <c r="AI139" s="1488">
        <f>KK60</f>
        <v>1954.8623837800872</v>
      </c>
    </row>
    <row r="140" spans="3:509" x14ac:dyDescent="0.25">
      <c r="C140" s="5"/>
      <c r="D140" s="7"/>
      <c r="E140" s="17"/>
      <c r="F140" s="17"/>
      <c r="G140" s="17"/>
      <c r="H140" s="17"/>
      <c r="I140" s="17"/>
      <c r="J140" s="17"/>
      <c r="K140" s="17"/>
      <c r="L140" s="17"/>
      <c r="M140" s="17"/>
      <c r="N140" s="17"/>
      <c r="O140" s="1617" t="s">
        <v>1127</v>
      </c>
      <c r="P140" s="648" t="s">
        <v>1117</v>
      </c>
      <c r="Q140" s="1251"/>
      <c r="R140" s="17"/>
      <c r="S140" s="933" t="s">
        <v>1123</v>
      </c>
      <c r="T140" s="274"/>
      <c r="U140" s="249"/>
      <c r="Y140" s="6"/>
      <c r="AA140" s="1492"/>
      <c r="AB140" s="309"/>
      <c r="AC140" s="309"/>
      <c r="AD140" s="1493"/>
      <c r="FU140" s="1199"/>
    </row>
    <row r="141" spans="3:509" x14ac:dyDescent="0.25">
      <c r="C141" s="5"/>
      <c r="D141" s="7"/>
      <c r="E141" s="17"/>
      <c r="F141" s="17"/>
      <c r="G141" s="17"/>
      <c r="H141" s="17"/>
      <c r="I141" s="17"/>
      <c r="J141" s="17"/>
      <c r="K141" s="17"/>
      <c r="L141" s="17"/>
      <c r="M141" s="17"/>
      <c r="N141" s="17"/>
      <c r="O141" s="1620"/>
      <c r="P141" s="118"/>
      <c r="Q141" s="21" t="s">
        <v>1149</v>
      </c>
      <c r="R141" s="1485">
        <f>F134*$B$22+$C$22</f>
        <v>25499.999999999996</v>
      </c>
      <c r="S141" s="118"/>
      <c r="T141" s="21" t="s">
        <v>1149</v>
      </c>
      <c r="U141" s="1482">
        <f>L134*$B$22+$C$22</f>
        <v>49999.999999999927</v>
      </c>
      <c r="Y141" s="6"/>
      <c r="AA141" s="1492"/>
      <c r="AB141" s="309"/>
      <c r="AC141" s="309"/>
      <c r="AD141" s="1493"/>
      <c r="AI141" t="s">
        <v>1158</v>
      </c>
    </row>
    <row r="142" spans="3:509" x14ac:dyDescent="0.25">
      <c r="C142" s="5"/>
      <c r="D142" s="7"/>
      <c r="E142" s="17"/>
      <c r="F142" s="17"/>
      <c r="G142" s="17"/>
      <c r="H142" s="17"/>
      <c r="I142" s="17"/>
      <c r="J142" s="17"/>
      <c r="K142" s="17"/>
      <c r="L142" s="17"/>
      <c r="M142" s="17"/>
      <c r="N142" s="17"/>
      <c r="O142" s="1620"/>
      <c r="P142" s="118"/>
      <c r="Q142" s="21" t="s">
        <v>1150</v>
      </c>
      <c r="R142" s="1490">
        <f>F135*$B$27+$C$27</f>
        <v>0.89</v>
      </c>
      <c r="S142" s="118"/>
      <c r="T142" s="21" t="s">
        <v>1150</v>
      </c>
      <c r="U142" s="1491">
        <f>L135*$B$27+$C$27</f>
        <v>0.87678796945252813</v>
      </c>
      <c r="V142" s="33" t="s">
        <v>509</v>
      </c>
      <c r="Y142" s="6"/>
      <c r="AA142" s="1492">
        <f>F167/F134</f>
        <v>1</v>
      </c>
      <c r="AB142" s="309"/>
      <c r="AC142" s="309"/>
      <c r="AD142" s="1497">
        <f>L167/L134</f>
        <v>7.6893314885550318E-2</v>
      </c>
      <c r="AG142" t="s">
        <v>1165</v>
      </c>
      <c r="AI142" t="s">
        <v>174</v>
      </c>
    </row>
    <row r="143" spans="3:509" x14ac:dyDescent="0.25">
      <c r="C143" s="5"/>
      <c r="D143" s="7"/>
      <c r="E143" s="17"/>
      <c r="F143" s="17"/>
      <c r="G143" s="17"/>
      <c r="H143" s="17"/>
      <c r="I143" s="17"/>
      <c r="J143" s="17"/>
      <c r="K143" s="17"/>
      <c r="L143" s="17"/>
      <c r="M143" s="17"/>
      <c r="N143" s="17"/>
      <c r="O143" s="1620"/>
      <c r="P143" s="118"/>
      <c r="Q143" s="21" t="s">
        <v>1152</v>
      </c>
      <c r="R143" s="1486">
        <f>F136*$B$33+$C$33</f>
        <v>30</v>
      </c>
      <c r="S143" s="118"/>
      <c r="T143" s="21" t="s">
        <v>1152</v>
      </c>
      <c r="U143" s="1483">
        <f>L136*$B$33+$C$33</f>
        <v>28.531996605836454</v>
      </c>
      <c r="Y143" s="6"/>
      <c r="AA143" s="1492">
        <f>F168/F135</f>
        <v>1</v>
      </c>
      <c r="AB143" s="309"/>
      <c r="AC143" s="309"/>
      <c r="AD143" s="1503">
        <f>L168/L135</f>
        <v>0.18024694204156166</v>
      </c>
      <c r="AG143" s="1488">
        <f>AI146/AI139</f>
        <v>6.7883835646191923E-2</v>
      </c>
      <c r="AI143" s="1488">
        <f>SUMPRODUCT(AK136:FX136,KM60:PZ60)</f>
        <v>2087.5659405515376</v>
      </c>
    </row>
    <row r="144" spans="3:509" x14ac:dyDescent="0.25">
      <c r="C144" s="5"/>
      <c r="D144" s="7"/>
      <c r="E144" s="17"/>
      <c r="F144" s="17"/>
      <c r="G144" s="17"/>
      <c r="H144" s="17"/>
      <c r="I144" s="17"/>
      <c r="J144" s="17"/>
      <c r="K144" s="17"/>
      <c r="L144" s="17"/>
      <c r="M144" s="17"/>
      <c r="N144" s="17"/>
      <c r="O144" s="1620"/>
      <c r="P144" s="118"/>
      <c r="Q144" s="21" t="s">
        <v>1153</v>
      </c>
      <c r="R144" s="1302">
        <f>F137*$B$39+$C$39</f>
        <v>67500</v>
      </c>
      <c r="S144" s="118"/>
      <c r="T144" s="21" t="s">
        <v>1153</v>
      </c>
      <c r="U144" s="1484">
        <f>L137*$B$39+$C$39</f>
        <v>65664.995757295561</v>
      </c>
      <c r="Y144" s="6"/>
      <c r="AA144" s="1492">
        <f>F169/F136</f>
        <v>1</v>
      </c>
      <c r="AB144" s="309"/>
      <c r="AC144" s="309"/>
      <c r="AD144" s="1493">
        <f>L169/L136</f>
        <v>0.18024694204156166</v>
      </c>
      <c r="AP144" t="s">
        <v>1166</v>
      </c>
      <c r="AR144" t="s">
        <v>1167</v>
      </c>
      <c r="AT144" t="s">
        <v>1168</v>
      </c>
    </row>
    <row r="145" spans="3:47" ht="15.75" thickBot="1" x14ac:dyDescent="0.3">
      <c r="C145" s="5"/>
      <c r="D145" s="7"/>
      <c r="E145" s="17"/>
      <c r="F145" s="17"/>
      <c r="G145" s="17"/>
      <c r="H145" s="17"/>
      <c r="I145" s="17"/>
      <c r="J145" s="17"/>
      <c r="K145" s="17"/>
      <c r="L145" s="17"/>
      <c r="M145" s="17"/>
      <c r="N145" s="17"/>
      <c r="O145" s="1623"/>
      <c r="P145" s="859"/>
      <c r="Q145" s="252"/>
      <c r="R145" s="252"/>
      <c r="S145" s="859"/>
      <c r="T145" s="252"/>
      <c r="U145" s="250"/>
      <c r="Y145" s="6"/>
      <c r="AA145" s="1494">
        <f>F170/F137</f>
        <v>1</v>
      </c>
      <c r="AB145" s="1495"/>
      <c r="AC145" s="1495"/>
      <c r="AD145" s="1496">
        <f>L170/L137</f>
        <v>0.18024694204156166</v>
      </c>
      <c r="AI145" t="s">
        <v>446</v>
      </c>
      <c r="AK145" t="s">
        <v>88</v>
      </c>
      <c r="AP145" s="1488">
        <f>MIN($AG$136)</f>
        <v>647155.77751326677</v>
      </c>
      <c r="AR145" s="1501">
        <f>MAX($AK$146)</f>
        <v>6.7883835646191923E-2</v>
      </c>
      <c r="AT145" s="1501">
        <f>MAX($AK$146)</f>
        <v>6.7883835646191923E-2</v>
      </c>
      <c r="AU145">
        <f>COUNT($DE$135:$FX$136,$D$44)</f>
        <v>145</v>
      </c>
    </row>
    <row r="146" spans="3:47" x14ac:dyDescent="0.25">
      <c r="C146" s="5"/>
      <c r="D146" s="7"/>
      <c r="E146" s="17"/>
      <c r="F146" s="17"/>
      <c r="G146" s="17"/>
      <c r="H146" s="17"/>
      <c r="I146" s="17"/>
      <c r="J146" s="17"/>
      <c r="K146" s="17"/>
      <c r="L146" s="17"/>
      <c r="M146" s="17"/>
      <c r="N146" s="17"/>
      <c r="T146" s="647"/>
      <c r="U146" s="1487" t="s">
        <v>1151</v>
      </c>
      <c r="Y146" s="6"/>
      <c r="AI146" s="1070">
        <f>AI143-AI139</f>
        <v>132.70355677145039</v>
      </c>
      <c r="AK146" s="1502">
        <f>(AI146/AI139)</f>
        <v>6.7883835646191923E-2</v>
      </c>
      <c r="AP146">
        <f>COUNT($DM$135:$FX$136)</f>
        <v>128</v>
      </c>
      <c r="AR146">
        <f>COUNT($DM$135:$FX$136,$D$44)</f>
        <v>129</v>
      </c>
      <c r="AT146" t="b">
        <f>$AD$142&lt;=1.05</f>
        <v>1</v>
      </c>
      <c r="AU146" t="b">
        <f>$AD$142&gt;=1.01</f>
        <v>0</v>
      </c>
    </row>
    <row r="147" spans="3:47" x14ac:dyDescent="0.25">
      <c r="C147" s="5"/>
      <c r="D147" s="7"/>
      <c r="E147" s="17"/>
      <c r="F147" s="17"/>
      <c r="G147" s="17"/>
      <c r="H147" s="17"/>
      <c r="I147" s="17"/>
      <c r="J147" s="17"/>
      <c r="K147" s="17"/>
      <c r="L147" s="17"/>
      <c r="M147" s="17"/>
      <c r="N147" s="17"/>
      <c r="U147" s="1487" t="s">
        <v>1247</v>
      </c>
      <c r="Y147" s="6"/>
      <c r="AP147">
        <f>{32767,32767,0.000001,0.01,FALSE,FALSE,FALSE,1,2,1,0.0001,TRUE}</f>
        <v>32767</v>
      </c>
      <c r="AR147" t="b">
        <f>$AD$143&lt;=1.05</f>
        <v>1</v>
      </c>
      <c r="AT147" t="b">
        <f t="array" ref="AT147">$AD$143:$AD$145=1</f>
        <v>0</v>
      </c>
      <c r="AU147" t="b">
        <f>$AI$139&lt;=500</f>
        <v>0</v>
      </c>
    </row>
    <row r="148" spans="3:47" x14ac:dyDescent="0.25">
      <c r="C148" s="5"/>
      <c r="D148" s="7"/>
      <c r="E148" s="17"/>
      <c r="F148" s="17"/>
      <c r="G148" s="17"/>
      <c r="H148" s="17"/>
      <c r="I148" s="17"/>
      <c r="J148" s="17"/>
      <c r="K148" s="17"/>
      <c r="L148" s="17"/>
      <c r="M148" s="17"/>
      <c r="N148" s="17"/>
      <c r="O148" s="17"/>
      <c r="P148" s="17"/>
      <c r="Q148" s="17"/>
      <c r="R148" s="17"/>
      <c r="S148" s="17"/>
      <c r="T148" s="17"/>
      <c r="U148" s="17"/>
      <c r="V148" s="17"/>
      <c r="W148" s="17"/>
      <c r="X148" s="7"/>
      <c r="Y148" s="6"/>
      <c r="AJ148" t="s">
        <v>5</v>
      </c>
      <c r="AK148" t="s">
        <v>1160</v>
      </c>
      <c r="AL148" t="s">
        <v>1161</v>
      </c>
      <c r="AP148">
        <f>{0,0,1,100,0,FALSE,FALSE,0.075,0,0,FALSE,30}</f>
        <v>0</v>
      </c>
      <c r="AR148">
        <f>{32767,32767,0.000001,0.01,FALSE,FALSE,FALSE,1,2,1,0.0001,TRUE}</f>
        <v>32767</v>
      </c>
      <c r="AT148">
        <f>{32767,32767,0.000001,0.01,FALSE,FALSE,FALSE,1,2,1,0.0001,TRUE}</f>
        <v>32767</v>
      </c>
      <c r="AU148">
        <f>{0,0,1,100,0,FALSE,FALSE,0.075,0,0,FALSE,30}</f>
        <v>0</v>
      </c>
    </row>
    <row r="149" spans="3:47" x14ac:dyDescent="0.25">
      <c r="C149" s="2"/>
      <c r="D149" s="245"/>
      <c r="E149" s="257"/>
      <c r="F149" s="257"/>
      <c r="G149" s="257"/>
      <c r="H149" s="257"/>
      <c r="I149" s="257"/>
      <c r="J149" s="257"/>
      <c r="K149" s="257"/>
      <c r="L149" s="257"/>
      <c r="M149" s="257"/>
      <c r="N149" s="257"/>
      <c r="O149" s="257"/>
      <c r="P149" s="257"/>
      <c r="Q149" s="257"/>
      <c r="R149" s="257"/>
      <c r="S149" s="257"/>
      <c r="T149" s="257"/>
      <c r="U149" s="257"/>
      <c r="V149" s="257"/>
      <c r="W149" s="257"/>
      <c r="X149" s="245"/>
      <c r="Y149" s="3"/>
      <c r="AJ149">
        <f>D44</f>
        <v>4</v>
      </c>
      <c r="AK149" s="721">
        <f>AI146</f>
        <v>132.70355677145039</v>
      </c>
      <c r="AL149" s="1488">
        <f>AI139</f>
        <v>1954.8623837800872</v>
      </c>
      <c r="AR149">
        <f>{0,0,1,100,0,FALSE,FALSE,0.075,0,0,FALSE,30}</f>
        <v>0</v>
      </c>
    </row>
    <row r="150" spans="3:47" x14ac:dyDescent="0.25">
      <c r="AD150" t="s">
        <v>1162</v>
      </c>
    </row>
    <row r="151" spans="3:47" x14ac:dyDescent="0.25">
      <c r="C151" s="1452">
        <f>D60</f>
        <v>44035</v>
      </c>
      <c r="D151" s="264"/>
      <c r="E151" s="264"/>
      <c r="F151" s="264"/>
      <c r="G151" s="264"/>
      <c r="H151" s="264"/>
      <c r="I151" s="264"/>
      <c r="J151" s="264"/>
      <c r="K151" s="264"/>
      <c r="L151" s="264"/>
      <c r="M151" s="264"/>
      <c r="N151" s="1453"/>
      <c r="O151" s="264"/>
      <c r="P151" s="264"/>
      <c r="Q151" s="264"/>
      <c r="R151" s="264"/>
      <c r="S151" s="264"/>
      <c r="T151" s="264"/>
      <c r="U151" s="264"/>
      <c r="V151" s="264"/>
      <c r="W151" s="264"/>
      <c r="X151" s="150"/>
      <c r="Y151" s="237"/>
    </row>
    <row r="152" spans="3:47" x14ac:dyDescent="0.25">
      <c r="C152" s="1533" t="s">
        <v>1257</v>
      </c>
      <c r="D152" s="17"/>
      <c r="E152" s="1621" t="s">
        <v>1075</v>
      </c>
      <c r="F152" s="1621"/>
      <c r="G152" s="1621"/>
      <c r="H152" s="1621" t="s">
        <v>1128</v>
      </c>
      <c r="I152" s="1621"/>
      <c r="J152" s="1621"/>
      <c r="K152" s="1621" t="s">
        <v>1129</v>
      </c>
      <c r="L152" s="1621"/>
      <c r="M152" s="1621"/>
      <c r="N152" s="17"/>
      <c r="O152" s="1251" t="s">
        <v>1115</v>
      </c>
      <c r="P152" s="1251" t="s">
        <v>1116</v>
      </c>
      <c r="Q152" s="1251" t="s">
        <v>1117</v>
      </c>
      <c r="R152" s="1251" t="s">
        <v>1118</v>
      </c>
      <c r="S152" s="1251" t="s">
        <v>1119</v>
      </c>
      <c r="T152" s="1251" t="s">
        <v>1120</v>
      </c>
      <c r="U152" s="1251" t="s">
        <v>1121</v>
      </c>
      <c r="V152" s="1251" t="s">
        <v>1122</v>
      </c>
      <c r="W152" s="1251" t="s">
        <v>1123</v>
      </c>
      <c r="X152" s="7"/>
      <c r="Y152" s="6"/>
      <c r="AF152" t="s">
        <v>5</v>
      </c>
      <c r="AG152" t="s">
        <v>1160</v>
      </c>
      <c r="AH152" t="s">
        <v>1161</v>
      </c>
      <c r="AJ152" t="s">
        <v>1163</v>
      </c>
    </row>
    <row r="153" spans="3:47" ht="15.75" thickBot="1" x14ac:dyDescent="0.3">
      <c r="C153" s="290"/>
      <c r="D153" s="17"/>
      <c r="E153" s="1624"/>
      <c r="F153" s="1624"/>
      <c r="G153" s="1624"/>
      <c r="H153" s="1624"/>
      <c r="I153" s="1624"/>
      <c r="J153" s="1624"/>
      <c r="K153" s="1624"/>
      <c r="L153" s="1624"/>
      <c r="M153" s="1624"/>
      <c r="N153" s="21" t="s">
        <v>897</v>
      </c>
      <c r="O153" s="724">
        <f>SR60</f>
        <v>0.49999999999999989</v>
      </c>
      <c r="P153" s="724">
        <f t="shared" ref="P153:W153" si="496">SS60</f>
        <v>0.49999999999999989</v>
      </c>
      <c r="Q153" s="724">
        <f t="shared" si="496"/>
        <v>0.49999999999999989</v>
      </c>
      <c r="R153" s="724">
        <f t="shared" si="496"/>
        <v>0.49999999999999989</v>
      </c>
      <c r="S153" s="724">
        <f t="shared" si="496"/>
        <v>0.99999974064359209</v>
      </c>
      <c r="T153" s="724">
        <f t="shared" si="496"/>
        <v>0.50005703904353094</v>
      </c>
      <c r="U153" s="724">
        <f t="shared" si="496"/>
        <v>0.50002413985724259</v>
      </c>
      <c r="V153" s="724">
        <f t="shared" si="496"/>
        <v>1</v>
      </c>
      <c r="W153" s="724">
        <f t="shared" si="496"/>
        <v>7.6893314885550193E-2</v>
      </c>
      <c r="X153" s="7"/>
      <c r="Y153" s="6"/>
      <c r="AF153">
        <v>1000</v>
      </c>
      <c r="AG153" s="1500">
        <v>1153.6046402030188</v>
      </c>
      <c r="AH153" s="1500">
        <v>98832.761158610563</v>
      </c>
    </row>
    <row r="154" spans="3:47" x14ac:dyDescent="0.25">
      <c r="C154" s="5"/>
      <c r="D154" s="1621" t="s">
        <v>1125</v>
      </c>
      <c r="E154" s="933" t="s">
        <v>1115</v>
      </c>
      <c r="F154" s="251"/>
      <c r="G154" s="242"/>
      <c r="H154" s="251" t="s">
        <v>1118</v>
      </c>
      <c r="I154" s="251"/>
      <c r="J154" s="242"/>
      <c r="K154" s="251" t="s">
        <v>1121</v>
      </c>
      <c r="L154" s="251"/>
      <c r="M154" s="249"/>
      <c r="N154" s="21" t="s">
        <v>899</v>
      </c>
      <c r="O154" s="724">
        <f>TB60</f>
        <v>0.49999999999999989</v>
      </c>
      <c r="P154" s="724">
        <f t="shared" ref="P154:W154" si="497">TC60</f>
        <v>0.49999999999999989</v>
      </c>
      <c r="Q154" s="724">
        <f t="shared" si="497"/>
        <v>0.49999999999999989</v>
      </c>
      <c r="R154" s="724">
        <f t="shared" si="497"/>
        <v>0.49999999999999989</v>
      </c>
      <c r="S154" s="724">
        <f t="shared" si="497"/>
        <v>0.50001425412964462</v>
      </c>
      <c r="T154" s="724">
        <f t="shared" si="497"/>
        <v>0.50001729190391209</v>
      </c>
      <c r="U154" s="724">
        <f t="shared" si="497"/>
        <v>0.50001217581058555</v>
      </c>
      <c r="V154" s="724">
        <f t="shared" si="497"/>
        <v>1</v>
      </c>
      <c r="W154" s="724">
        <f t="shared" si="497"/>
        <v>7.6893314885550193E-2</v>
      </c>
      <c r="X154" s="7"/>
      <c r="Y154" s="6"/>
      <c r="AF154">
        <v>2000</v>
      </c>
      <c r="AG154" s="1500">
        <v>3169.2976300336595</v>
      </c>
      <c r="AH154" s="1500">
        <v>96804.433676885368</v>
      </c>
      <c r="AJ154">
        <f>AF154/AF153</f>
        <v>2</v>
      </c>
      <c r="AK154">
        <f t="shared" ref="AK154:AL158" si="498">AG154/AG153</f>
        <v>2.747299654997839</v>
      </c>
      <c r="AL154">
        <f t="shared" si="498"/>
        <v>0.97947717479561203</v>
      </c>
    </row>
    <row r="155" spans="3:47" x14ac:dyDescent="0.25">
      <c r="C155" s="5"/>
      <c r="D155" s="1621"/>
      <c r="E155" s="118" t="s">
        <v>897</v>
      </c>
      <c r="F155" s="1448">
        <f>O153</f>
        <v>0.49999999999999989</v>
      </c>
      <c r="G155" s="239"/>
      <c r="H155" s="21" t="s">
        <v>897</v>
      </c>
      <c r="I155" s="1448">
        <f>R153</f>
        <v>0.49999999999999989</v>
      </c>
      <c r="J155" s="239"/>
      <c r="K155" s="21" t="s">
        <v>897</v>
      </c>
      <c r="L155" s="1448">
        <f>U153</f>
        <v>0.50002413985724259</v>
      </c>
      <c r="M155" s="195"/>
      <c r="N155" s="21" t="s">
        <v>901</v>
      </c>
      <c r="O155" s="724">
        <f>TL60</f>
        <v>0.49999999999999989</v>
      </c>
      <c r="P155" s="724">
        <f t="shared" ref="P155:W155" si="499">TM60</f>
        <v>0.49999999999999989</v>
      </c>
      <c r="Q155" s="724">
        <f t="shared" si="499"/>
        <v>0.49999999999999989</v>
      </c>
      <c r="R155" s="724">
        <f t="shared" si="499"/>
        <v>0.49999999999999989</v>
      </c>
      <c r="S155" s="724">
        <f t="shared" si="499"/>
        <v>0.50000623657100107</v>
      </c>
      <c r="T155" s="724">
        <f t="shared" si="499"/>
        <v>0.50001228686700583</v>
      </c>
      <c r="U155" s="724">
        <f t="shared" si="499"/>
        <v>0.50000692338078079</v>
      </c>
      <c r="V155" s="724">
        <f t="shared" si="499"/>
        <v>4.4790823149986687E-43</v>
      </c>
      <c r="W155" s="724">
        <f t="shared" si="499"/>
        <v>7.6893314885550193E-2</v>
      </c>
      <c r="X155" s="7"/>
      <c r="Y155" s="6"/>
      <c r="AF155">
        <v>5000</v>
      </c>
      <c r="AG155" s="1500">
        <v>7839.8917377353355</v>
      </c>
      <c r="AH155" s="1500">
        <v>92095.938541572221</v>
      </c>
      <c r="AJ155">
        <f t="shared" ref="AJ155:AJ158" si="500">AF155/AF154</f>
        <v>2.5</v>
      </c>
      <c r="AK155">
        <f t="shared" si="498"/>
        <v>2.4737000600514985</v>
      </c>
      <c r="AL155">
        <f t="shared" si="498"/>
        <v>0.95136074912612778</v>
      </c>
    </row>
    <row r="156" spans="3:47" x14ac:dyDescent="0.25">
      <c r="C156" s="5"/>
      <c r="D156" s="1621"/>
      <c r="E156" s="118" t="s">
        <v>899</v>
      </c>
      <c r="F156" s="1450">
        <f>O154</f>
        <v>0.49999999999999989</v>
      </c>
      <c r="G156" s="239"/>
      <c r="H156" s="21" t="s">
        <v>899</v>
      </c>
      <c r="I156" s="1450">
        <f>R154</f>
        <v>0.49999999999999989</v>
      </c>
      <c r="J156" s="239"/>
      <c r="K156" s="21" t="s">
        <v>899</v>
      </c>
      <c r="L156" s="1450">
        <f>U154</f>
        <v>0.50001217581058555</v>
      </c>
      <c r="M156" s="195"/>
      <c r="N156" s="21" t="s">
        <v>906</v>
      </c>
      <c r="O156" s="724">
        <f>TV60</f>
        <v>0.49999999999999989</v>
      </c>
      <c r="P156" s="724">
        <f t="shared" ref="P156:W156" si="501">TW60</f>
        <v>0.49999999999999989</v>
      </c>
      <c r="Q156" s="724">
        <f t="shared" si="501"/>
        <v>0.49999999999999989</v>
      </c>
      <c r="R156" s="724">
        <f t="shared" si="501"/>
        <v>0.49999999999999989</v>
      </c>
      <c r="S156" s="724">
        <f t="shared" si="501"/>
        <v>0.50000625346647198</v>
      </c>
      <c r="T156" s="724">
        <f t="shared" si="501"/>
        <v>0.50000719914828839</v>
      </c>
      <c r="U156" s="724">
        <f t="shared" si="501"/>
        <v>0.50000321180475982</v>
      </c>
      <c r="V156" s="724">
        <f t="shared" si="501"/>
        <v>4.4790823730139209E-43</v>
      </c>
      <c r="W156" s="724">
        <f t="shared" si="501"/>
        <v>7.6893314885550193E-2</v>
      </c>
      <c r="X156" s="7"/>
      <c r="Y156" s="6"/>
      <c r="AF156">
        <v>10000</v>
      </c>
      <c r="AG156" s="1500">
        <v>16076.71133785251</v>
      </c>
      <c r="AH156" s="1500">
        <v>83777.58013958692</v>
      </c>
      <c r="AJ156">
        <f t="shared" si="500"/>
        <v>2</v>
      </c>
      <c r="AK156">
        <f t="shared" si="498"/>
        <v>2.0506292530126822</v>
      </c>
      <c r="AL156">
        <f t="shared" si="498"/>
        <v>0.9096772503357422</v>
      </c>
    </row>
    <row r="157" spans="3:47" x14ac:dyDescent="0.25">
      <c r="C157" s="5"/>
      <c r="D157" s="1621"/>
      <c r="E157" s="118" t="s">
        <v>901</v>
      </c>
      <c r="F157" s="1450">
        <f>O155</f>
        <v>0.49999999999999989</v>
      </c>
      <c r="G157" s="239"/>
      <c r="H157" s="21" t="s">
        <v>901</v>
      </c>
      <c r="I157" s="1450">
        <f>R155</f>
        <v>0.49999999999999989</v>
      </c>
      <c r="J157" s="239"/>
      <c r="K157" s="21" t="s">
        <v>901</v>
      </c>
      <c r="L157" s="1450">
        <f>U155</f>
        <v>0.50000692338078079</v>
      </c>
      <c r="M157" s="195"/>
      <c r="N157" s="17"/>
      <c r="O157" s="17"/>
      <c r="P157" s="17"/>
      <c r="Q157" s="17"/>
      <c r="R157" s="17"/>
      <c r="S157" s="17"/>
      <c r="T157" s="17"/>
      <c r="U157" s="17"/>
      <c r="V157" s="17"/>
      <c r="W157" s="17"/>
      <c r="X157" s="7"/>
      <c r="Y157" s="6"/>
      <c r="AF157">
        <v>20000</v>
      </c>
      <c r="AG157" s="1500">
        <v>28758.972283365292</v>
      </c>
      <c r="AH157" s="1500">
        <v>68385.041098960399</v>
      </c>
      <c r="AJ157">
        <f t="shared" si="500"/>
        <v>2</v>
      </c>
      <c r="AK157">
        <f t="shared" si="498"/>
        <v>1.7888591565149574</v>
      </c>
      <c r="AL157">
        <f t="shared" si="498"/>
        <v>0.81626899446152446</v>
      </c>
    </row>
    <row r="158" spans="3:47" x14ac:dyDescent="0.25">
      <c r="C158" s="5"/>
      <c r="D158" s="1621"/>
      <c r="E158" s="118" t="s">
        <v>906</v>
      </c>
      <c r="F158" s="1451">
        <f>O156</f>
        <v>0.49999999999999989</v>
      </c>
      <c r="G158" s="239"/>
      <c r="H158" s="21" t="s">
        <v>906</v>
      </c>
      <c r="I158" s="1451">
        <f>R156</f>
        <v>0.49999999999999989</v>
      </c>
      <c r="J158" s="239"/>
      <c r="K158" s="21" t="s">
        <v>906</v>
      </c>
      <c r="L158" s="1451">
        <f>U156</f>
        <v>0.50000321180475982</v>
      </c>
      <c r="M158" s="195"/>
      <c r="N158" s="17"/>
      <c r="O158" s="17"/>
      <c r="P158" s="17"/>
      <c r="Q158" s="17"/>
      <c r="R158" s="17"/>
      <c r="S158" s="17"/>
      <c r="T158" s="17"/>
      <c r="U158" s="17"/>
      <c r="V158" s="17"/>
      <c r="W158" s="17"/>
      <c r="X158" s="7"/>
      <c r="Y158" s="6"/>
      <c r="AF158">
        <v>50000</v>
      </c>
      <c r="AG158" s="1500">
        <v>22550.914907256854</v>
      </c>
      <c r="AH158" s="1500">
        <v>31657.096511335287</v>
      </c>
      <c r="AJ158">
        <f t="shared" si="500"/>
        <v>2.5</v>
      </c>
      <c r="AK158">
        <f t="shared" si="498"/>
        <v>0.78413493657075883</v>
      </c>
      <c r="AL158">
        <f t="shared" si="498"/>
        <v>0.46292428874209662</v>
      </c>
    </row>
    <row r="159" spans="3:47" x14ac:dyDescent="0.25">
      <c r="C159" s="5"/>
      <c r="D159" s="1621"/>
      <c r="E159" s="1420"/>
      <c r="F159" s="1257"/>
      <c r="G159" s="260"/>
      <c r="H159" s="257"/>
      <c r="I159" s="1257"/>
      <c r="J159" s="260"/>
      <c r="K159" s="257"/>
      <c r="L159" s="1257"/>
      <c r="M159" s="1421"/>
      <c r="N159" s="17"/>
      <c r="O159" s="17"/>
      <c r="P159" s="17"/>
      <c r="Q159" s="17"/>
      <c r="R159" s="17"/>
      <c r="S159" s="17"/>
      <c r="T159" s="17"/>
      <c r="U159" s="17"/>
      <c r="V159" s="17"/>
      <c r="W159" s="17"/>
      <c r="X159" s="7"/>
      <c r="Y159" s="6"/>
      <c r="AF159">
        <v>100000</v>
      </c>
      <c r="AG159" s="1500">
        <v>10654.086848642983</v>
      </c>
      <c r="AH159" s="1500">
        <v>29192.224262119795</v>
      </c>
      <c r="AJ159">
        <f t="shared" ref="AJ159:AL165" si="502">AF159/AF158</f>
        <v>2</v>
      </c>
      <c r="AK159">
        <f t="shared" si="502"/>
        <v>0.47244588046467739</v>
      </c>
      <c r="AL159">
        <f t="shared" si="502"/>
        <v>0.9221383979944936</v>
      </c>
    </row>
    <row r="160" spans="3:47" x14ac:dyDescent="0.25">
      <c r="C160" s="5"/>
      <c r="D160" s="1621" t="s">
        <v>1126</v>
      </c>
      <c r="E160" s="648" t="s">
        <v>1116</v>
      </c>
      <c r="F160" s="1251"/>
      <c r="G160" s="239"/>
      <c r="H160" s="17" t="s">
        <v>1119</v>
      </c>
      <c r="I160" s="1251"/>
      <c r="J160" s="239"/>
      <c r="K160" s="17" t="s">
        <v>1122</v>
      </c>
      <c r="L160" s="1251"/>
      <c r="M160" s="195"/>
      <c r="N160" s="17"/>
      <c r="O160" s="17"/>
      <c r="P160" s="17"/>
      <c r="Q160" s="17"/>
      <c r="R160" s="17"/>
      <c r="S160" s="17"/>
      <c r="T160" s="17"/>
      <c r="U160" s="17"/>
      <c r="V160" s="17"/>
      <c r="W160" s="7"/>
      <c r="X160" s="7"/>
      <c r="Y160" s="6"/>
      <c r="AF160">
        <v>250000</v>
      </c>
      <c r="AG160" s="1500">
        <v>3478.3993755542069</v>
      </c>
      <c r="AH160" s="1500">
        <v>22605.411259788787</v>
      </c>
      <c r="AJ160">
        <f t="shared" si="502"/>
        <v>2.5</v>
      </c>
      <c r="AK160">
        <f t="shared" si="502"/>
        <v>0.32648498411642407</v>
      </c>
      <c r="AL160">
        <f t="shared" si="502"/>
        <v>0.77436412713236991</v>
      </c>
    </row>
    <row r="161" spans="3:38" x14ac:dyDescent="0.25">
      <c r="C161" s="5"/>
      <c r="D161" s="1621"/>
      <c r="E161" s="118" t="s">
        <v>897</v>
      </c>
      <c r="F161" s="1448">
        <f>P153</f>
        <v>0.49999999999999989</v>
      </c>
      <c r="G161" s="239"/>
      <c r="H161" s="21" t="s">
        <v>897</v>
      </c>
      <c r="I161" s="1448">
        <f>S153</f>
        <v>0.99999974064359209</v>
      </c>
      <c r="J161" s="239"/>
      <c r="K161" s="21" t="s">
        <v>897</v>
      </c>
      <c r="L161" s="1448">
        <f>V153</f>
        <v>1</v>
      </c>
      <c r="M161" s="195"/>
      <c r="N161" s="17"/>
      <c r="Y161" s="6"/>
      <c r="AF161">
        <v>500000</v>
      </c>
      <c r="AG161" s="1500">
        <v>1535.9022433594546</v>
      </c>
      <c r="AH161" s="1500">
        <v>20164.705205975566</v>
      </c>
      <c r="AJ161">
        <f t="shared" si="502"/>
        <v>2</v>
      </c>
      <c r="AK161">
        <f t="shared" si="502"/>
        <v>0.44155431206479623</v>
      </c>
      <c r="AL161">
        <f t="shared" si="502"/>
        <v>0.89203000884328854</v>
      </c>
    </row>
    <row r="162" spans="3:38" x14ac:dyDescent="0.25">
      <c r="C162" s="5"/>
      <c r="D162" s="1621"/>
      <c r="E162" s="118" t="s">
        <v>899</v>
      </c>
      <c r="F162" s="1450">
        <f>P154</f>
        <v>0.49999999999999989</v>
      </c>
      <c r="G162" s="239"/>
      <c r="H162" s="21" t="s">
        <v>899</v>
      </c>
      <c r="I162" s="1450">
        <f>S154</f>
        <v>0.50001425412964462</v>
      </c>
      <c r="J162" s="239"/>
      <c r="K162" s="21" t="s">
        <v>899</v>
      </c>
      <c r="L162" s="1450">
        <f>V154</f>
        <v>1</v>
      </c>
      <c r="M162" s="195"/>
      <c r="N162" s="17"/>
      <c r="Y162" s="6"/>
      <c r="AF162">
        <v>1000000</v>
      </c>
      <c r="AG162" s="1500">
        <v>724.68068343112827</v>
      </c>
      <c r="AH162" s="1500">
        <v>19115.543321962468</v>
      </c>
      <c r="AJ162">
        <f t="shared" si="502"/>
        <v>2</v>
      </c>
      <c r="AK162">
        <f t="shared" si="502"/>
        <v>0.471827348754987</v>
      </c>
      <c r="AL162">
        <f t="shared" si="502"/>
        <v>0.94797038323663707</v>
      </c>
    </row>
    <row r="163" spans="3:38" x14ac:dyDescent="0.25">
      <c r="C163" s="5"/>
      <c r="D163" s="1621"/>
      <c r="E163" s="118" t="s">
        <v>901</v>
      </c>
      <c r="F163" s="1450">
        <f>P155</f>
        <v>0.49999999999999989</v>
      </c>
      <c r="G163" s="239"/>
      <c r="H163" s="21" t="s">
        <v>901</v>
      </c>
      <c r="I163" s="1450">
        <f>S155</f>
        <v>0.50000623657100107</v>
      </c>
      <c r="J163" s="239"/>
      <c r="K163" s="21" t="s">
        <v>901</v>
      </c>
      <c r="L163" s="1450">
        <f>V155</f>
        <v>4.4790823149986687E-43</v>
      </c>
      <c r="M163" s="195"/>
      <c r="N163" s="17"/>
      <c r="Y163" s="6"/>
      <c r="AF163">
        <v>1000000</v>
      </c>
      <c r="AG163" s="1500">
        <v>3290.8207361904861</v>
      </c>
      <c r="AH163" s="1500">
        <v>41817.31306970492</v>
      </c>
      <c r="AJ163">
        <f t="shared" si="502"/>
        <v>1</v>
      </c>
      <c r="AK163">
        <f t="shared" si="502"/>
        <v>4.5410631350204005</v>
      </c>
      <c r="AL163">
        <f t="shared" si="502"/>
        <v>2.187607873099775</v>
      </c>
    </row>
    <row r="164" spans="3:38" x14ac:dyDescent="0.25">
      <c r="C164" s="5"/>
      <c r="D164" s="1621"/>
      <c r="E164" s="118" t="s">
        <v>906</v>
      </c>
      <c r="F164" s="1451">
        <f>P156</f>
        <v>0.49999999999999989</v>
      </c>
      <c r="G164" s="239"/>
      <c r="H164" s="21" t="s">
        <v>906</v>
      </c>
      <c r="I164" s="1451">
        <f>S156</f>
        <v>0.50000625346647198</v>
      </c>
      <c r="J164" s="239"/>
      <c r="K164" s="21" t="s">
        <v>906</v>
      </c>
      <c r="L164" s="1451">
        <f>V156</f>
        <v>4.4790823730139209E-43</v>
      </c>
      <c r="M164" s="195"/>
      <c r="N164" s="17"/>
      <c r="Y164" s="6"/>
      <c r="AF164">
        <v>2000000</v>
      </c>
      <c r="AG164" s="1500">
        <v>2222.9573028426894</v>
      </c>
      <c r="AH164" s="1500">
        <v>47159.590022837743</v>
      </c>
      <c r="AJ164">
        <f t="shared" si="502"/>
        <v>2</v>
      </c>
      <c r="AK164">
        <f t="shared" si="502"/>
        <v>0.67550239926348132</v>
      </c>
      <c r="AL164">
        <f t="shared" si="502"/>
        <v>1.1277527550425783</v>
      </c>
    </row>
    <row r="165" spans="3:38" x14ac:dyDescent="0.25">
      <c r="C165" s="5"/>
      <c r="D165" s="1621"/>
      <c r="E165" s="1420"/>
      <c r="F165" s="1257"/>
      <c r="G165" s="260"/>
      <c r="H165" s="257"/>
      <c r="I165" s="1257"/>
      <c r="J165" s="260"/>
      <c r="K165" s="257"/>
      <c r="L165" s="1257"/>
      <c r="M165" s="1421"/>
      <c r="N165" s="17"/>
      <c r="O165" s="17"/>
      <c r="P165" s="1617" t="s">
        <v>1075</v>
      </c>
      <c r="Q165" s="1618"/>
      <c r="R165" s="1619"/>
      <c r="S165" s="1617" t="s">
        <v>1129</v>
      </c>
      <c r="T165" s="1618"/>
      <c r="U165" s="1619"/>
      <c r="Y165" s="6"/>
      <c r="AF165">
        <v>5057388.1255109562</v>
      </c>
      <c r="AG165" s="1500">
        <v>1034.7073992609658</v>
      </c>
      <c r="AH165" s="1500">
        <v>35741.32155059278</v>
      </c>
      <c r="AJ165">
        <f t="shared" si="502"/>
        <v>2.5286940627554779</v>
      </c>
      <c r="AK165">
        <f t="shared" si="502"/>
        <v>0.46546436044353851</v>
      </c>
      <c r="AL165">
        <f t="shared" si="502"/>
        <v>0.75788024309126745</v>
      </c>
    </row>
    <row r="166" spans="3:38" ht="15.75" thickBot="1" x14ac:dyDescent="0.3">
      <c r="C166" s="5"/>
      <c r="D166" s="1621" t="s">
        <v>1127</v>
      </c>
      <c r="E166" s="648" t="s">
        <v>1117</v>
      </c>
      <c r="F166" s="1251"/>
      <c r="G166" s="239"/>
      <c r="H166" s="17" t="s">
        <v>1120</v>
      </c>
      <c r="I166" s="1251"/>
      <c r="J166" s="239"/>
      <c r="K166" s="17" t="s">
        <v>1123</v>
      </c>
      <c r="L166" s="1251"/>
      <c r="M166" s="195"/>
      <c r="N166" s="17"/>
      <c r="O166" s="17"/>
      <c r="P166" s="1620"/>
      <c r="Q166" s="1621"/>
      <c r="R166" s="1622"/>
      <c r="S166" s="1620"/>
      <c r="T166" s="1621"/>
      <c r="U166" s="1622"/>
      <c r="Y166" s="6"/>
      <c r="AG166" s="1500"/>
      <c r="AH166" s="1500"/>
    </row>
    <row r="167" spans="3:38" x14ac:dyDescent="0.25">
      <c r="C167" s="5"/>
      <c r="D167" s="1621"/>
      <c r="E167" s="118" t="s">
        <v>897</v>
      </c>
      <c r="F167" s="1448">
        <f>Q153</f>
        <v>0.49999999999999989</v>
      </c>
      <c r="G167" s="239"/>
      <c r="H167" s="21" t="s">
        <v>897</v>
      </c>
      <c r="I167" s="1448">
        <f>T153</f>
        <v>0.50005703904353094</v>
      </c>
      <c r="J167" s="239"/>
      <c r="K167" s="21" t="s">
        <v>897</v>
      </c>
      <c r="L167" s="1448">
        <f>W153</f>
        <v>7.6893314885550193E-2</v>
      </c>
      <c r="M167" s="195"/>
      <c r="N167" s="17"/>
      <c r="O167" s="1617" t="s">
        <v>1125</v>
      </c>
      <c r="P167" s="933" t="s">
        <v>1115</v>
      </c>
      <c r="Q167" s="251"/>
      <c r="R167" s="249"/>
      <c r="S167" s="933" t="s">
        <v>1121</v>
      </c>
      <c r="T167" s="251"/>
      <c r="U167" s="249"/>
      <c r="Y167" s="6"/>
      <c r="AG167" s="1500"/>
      <c r="AH167" s="1500"/>
    </row>
    <row r="168" spans="3:38" x14ac:dyDescent="0.25">
      <c r="C168" s="5"/>
      <c r="D168" s="1621"/>
      <c r="E168" s="118" t="s">
        <v>899</v>
      </c>
      <c r="F168" s="1450">
        <f>Q154</f>
        <v>0.49999999999999989</v>
      </c>
      <c r="G168" s="239"/>
      <c r="H168" s="21" t="s">
        <v>899</v>
      </c>
      <c r="I168" s="1450">
        <f>T154</f>
        <v>0.50001729190391209</v>
      </c>
      <c r="J168" s="239"/>
      <c r="K168" s="21" t="s">
        <v>899</v>
      </c>
      <c r="L168" s="1450">
        <f>W154</f>
        <v>7.6893314885550193E-2</v>
      </c>
      <c r="M168" s="195"/>
      <c r="N168" s="17"/>
      <c r="O168" s="1620"/>
      <c r="P168" s="648"/>
      <c r="Q168" s="21" t="s">
        <v>1149</v>
      </c>
      <c r="R168" s="1482">
        <f>F155*$B$22+$C$22</f>
        <v>25499.999999999996</v>
      </c>
      <c r="S168" s="118"/>
      <c r="T168" s="21" t="s">
        <v>1149</v>
      </c>
      <c r="U168" s="1482">
        <f>L155*$B$22+$C$22</f>
        <v>25501.182853004888</v>
      </c>
      <c r="Y168" s="6"/>
      <c r="AE168" s="4"/>
      <c r="AF168" s="4"/>
      <c r="AG168" s="1500"/>
      <c r="AH168" s="1500"/>
    </row>
    <row r="169" spans="3:38" x14ac:dyDescent="0.25">
      <c r="C169" s="5"/>
      <c r="D169" s="1621"/>
      <c r="E169" s="118" t="s">
        <v>901</v>
      </c>
      <c r="F169" s="1450">
        <f>Q155</f>
        <v>0.49999999999999989</v>
      </c>
      <c r="G169" s="239"/>
      <c r="H169" s="21" t="s">
        <v>901</v>
      </c>
      <c r="I169" s="1450">
        <f>T155</f>
        <v>0.50001228686700583</v>
      </c>
      <c r="J169" s="239"/>
      <c r="K169" s="21" t="s">
        <v>901</v>
      </c>
      <c r="L169" s="1450">
        <f>W155</f>
        <v>7.6893314885550193E-2</v>
      </c>
      <c r="M169" s="195"/>
      <c r="N169" s="17"/>
      <c r="O169" s="1620"/>
      <c r="P169" s="648"/>
      <c r="Q169" s="21" t="s">
        <v>1150</v>
      </c>
      <c r="R169" s="1491">
        <f>F156*$B$27+$C$27</f>
        <v>0.89</v>
      </c>
      <c r="S169" s="118"/>
      <c r="T169" s="21" t="s">
        <v>1150</v>
      </c>
      <c r="U169" s="1491">
        <f>L156*$B$27+$C$27</f>
        <v>0.89000219164590544</v>
      </c>
      <c r="Y169" s="6"/>
      <c r="AE169" s="4"/>
      <c r="AF169">
        <v>459.07281102003458</v>
      </c>
      <c r="AG169" s="721">
        <v>610.29901618397594</v>
      </c>
      <c r="AH169" s="1488">
        <v>499.99999934386915</v>
      </c>
    </row>
    <row r="170" spans="3:38" x14ac:dyDescent="0.25">
      <c r="C170" s="5"/>
      <c r="D170" s="1621"/>
      <c r="E170" s="118" t="s">
        <v>906</v>
      </c>
      <c r="F170" s="1451">
        <f>Q156</f>
        <v>0.49999999999999989</v>
      </c>
      <c r="G170" s="239"/>
      <c r="H170" s="21" t="s">
        <v>906</v>
      </c>
      <c r="I170" s="1451">
        <f>T156</f>
        <v>0.50000719914828839</v>
      </c>
      <c r="J170" s="239"/>
      <c r="K170" s="21" t="s">
        <v>906</v>
      </c>
      <c r="L170" s="1451">
        <f>W156</f>
        <v>7.6893314885550193E-2</v>
      </c>
      <c r="M170" s="195"/>
      <c r="N170" s="17"/>
      <c r="O170" s="1620"/>
      <c r="P170" s="648"/>
      <c r="Q170" s="21" t="s">
        <v>1152</v>
      </c>
      <c r="R170" s="1483">
        <f>F157*$B$33+$C$33</f>
        <v>30</v>
      </c>
      <c r="S170" s="118"/>
      <c r="T170" s="21" t="s">
        <v>1152</v>
      </c>
      <c r="U170" s="1483">
        <f>L157*$B$33+$C$33</f>
        <v>30.000138467615614</v>
      </c>
      <c r="Y170" s="6"/>
      <c r="AE170" s="4"/>
      <c r="AF170" s="4"/>
      <c r="AG170" s="4"/>
    </row>
    <row r="171" spans="3:38" ht="15.75" thickBot="1" x14ac:dyDescent="0.3">
      <c r="C171" s="5"/>
      <c r="D171" s="1621"/>
      <c r="E171" s="859"/>
      <c r="F171" s="252"/>
      <c r="G171" s="1419"/>
      <c r="H171" s="252"/>
      <c r="I171" s="252"/>
      <c r="J171" s="1419"/>
      <c r="K171" s="252"/>
      <c r="L171" s="252"/>
      <c r="M171" s="250"/>
      <c r="N171" s="17"/>
      <c r="O171" s="1620"/>
      <c r="P171" s="648"/>
      <c r="Q171" s="21" t="s">
        <v>1153</v>
      </c>
      <c r="R171" s="1484">
        <f>F158*$B$39+$C$39</f>
        <v>67500</v>
      </c>
      <c r="S171" s="118"/>
      <c r="T171" s="21" t="s">
        <v>1153</v>
      </c>
      <c r="U171" s="1484">
        <f>L158*$B$39+$C$39</f>
        <v>67500.080295118998</v>
      </c>
      <c r="Y171" s="6"/>
      <c r="AE171" s="4"/>
      <c r="AF171" s="4"/>
      <c r="AG171" s="4"/>
    </row>
    <row r="172" spans="3:38" ht="15.75" thickBot="1" x14ac:dyDescent="0.3">
      <c r="C172" s="5"/>
      <c r="D172" s="7"/>
      <c r="E172" s="17"/>
      <c r="F172" s="17"/>
      <c r="G172" s="17"/>
      <c r="H172" s="17"/>
      <c r="I172" s="17"/>
      <c r="J172" s="17"/>
      <c r="K172" s="17"/>
      <c r="L172" s="17"/>
      <c r="M172" s="17"/>
      <c r="N172" s="17"/>
      <c r="O172" s="1623"/>
      <c r="P172" s="859"/>
      <c r="Q172" s="1259"/>
      <c r="R172" s="250"/>
      <c r="S172" s="859"/>
      <c r="T172" s="1259"/>
      <c r="U172" s="250"/>
      <c r="Y172" s="6"/>
      <c r="AE172" s="4"/>
      <c r="AF172" s="4"/>
      <c r="AG172" s="4"/>
    </row>
    <row r="173" spans="3:38" x14ac:dyDescent="0.25">
      <c r="C173" s="5"/>
      <c r="D173" s="7"/>
      <c r="E173" s="17"/>
      <c r="F173" s="17"/>
      <c r="G173" s="17"/>
      <c r="H173" s="17"/>
      <c r="I173" s="17"/>
      <c r="J173" s="17"/>
      <c r="K173" s="17"/>
      <c r="L173" s="17"/>
      <c r="M173" s="17"/>
      <c r="N173" s="17"/>
      <c r="O173" s="1617" t="s">
        <v>1127</v>
      </c>
      <c r="P173" s="648" t="s">
        <v>1117</v>
      </c>
      <c r="Q173" s="1251"/>
      <c r="R173" s="17"/>
      <c r="S173" s="933" t="s">
        <v>1123</v>
      </c>
      <c r="T173" s="274"/>
      <c r="U173" s="249"/>
      <c r="Y173" s="6"/>
      <c r="AD173" t="s">
        <v>1248</v>
      </c>
      <c r="AE173" s="4"/>
      <c r="AF173" s="4"/>
      <c r="AG173" s="4"/>
    </row>
    <row r="174" spans="3:38" x14ac:dyDescent="0.25">
      <c r="C174" s="5"/>
      <c r="D174" s="7"/>
      <c r="E174" s="17"/>
      <c r="F174" s="17"/>
      <c r="G174" s="17"/>
      <c r="H174" s="17"/>
      <c r="I174" s="17"/>
      <c r="J174" s="17"/>
      <c r="K174" s="17"/>
      <c r="L174" s="17"/>
      <c r="M174" s="17"/>
      <c r="N174" s="17"/>
      <c r="O174" s="1620"/>
      <c r="P174" s="118"/>
      <c r="Q174" s="21" t="s">
        <v>1149</v>
      </c>
      <c r="R174" s="1485">
        <f>F167*$B$22+$C$22</f>
        <v>25499.999999999996</v>
      </c>
      <c r="S174" s="118"/>
      <c r="T174" s="21" t="s">
        <v>1149</v>
      </c>
      <c r="U174" s="1482">
        <f>L167*$B$22+$C$22</f>
        <v>4767.77242939196</v>
      </c>
      <c r="Y174" s="6"/>
      <c r="AE174" s="4"/>
      <c r="AF174" s="4"/>
      <c r="AG174" s="4"/>
    </row>
    <row r="175" spans="3:38" x14ac:dyDescent="0.25">
      <c r="C175" s="5"/>
      <c r="D175" s="7"/>
      <c r="E175" s="17"/>
      <c r="F175" s="17"/>
      <c r="G175" s="17"/>
      <c r="H175" s="17"/>
      <c r="I175" s="17"/>
      <c r="J175" s="17"/>
      <c r="K175" s="17"/>
      <c r="L175" s="17"/>
      <c r="M175" s="17"/>
      <c r="N175" s="17"/>
      <c r="O175" s="1620"/>
      <c r="P175" s="118"/>
      <c r="Q175" s="21" t="s">
        <v>1150</v>
      </c>
      <c r="R175" s="1490">
        <f>F168*$B$27+$C$27</f>
        <v>0.89</v>
      </c>
      <c r="S175" s="118"/>
      <c r="T175" s="21" t="s">
        <v>1150</v>
      </c>
      <c r="U175" s="1491">
        <f>L168*$B$27+$C$27</f>
        <v>0.81384079667939913</v>
      </c>
      <c r="V175" s="33" t="s">
        <v>509</v>
      </c>
      <c r="Y175" s="6"/>
      <c r="AE175" t="s">
        <v>1251</v>
      </c>
      <c r="AF175" s="4"/>
      <c r="AG175" s="4"/>
    </row>
    <row r="176" spans="3:38" x14ac:dyDescent="0.25">
      <c r="C176" s="5"/>
      <c r="D176" s="7"/>
      <c r="E176" s="17"/>
      <c r="F176" s="17"/>
      <c r="G176" s="17"/>
      <c r="H176" s="17"/>
      <c r="I176" s="17"/>
      <c r="J176" s="17"/>
      <c r="K176" s="17"/>
      <c r="L176" s="17"/>
      <c r="M176" s="17"/>
      <c r="N176" s="17"/>
      <c r="O176" s="1620"/>
      <c r="P176" s="118"/>
      <c r="Q176" s="21" t="s">
        <v>1152</v>
      </c>
      <c r="R176" s="1486">
        <f>F169*$B$33+$C$33</f>
        <v>30</v>
      </c>
      <c r="S176" s="118"/>
      <c r="T176" s="21" t="s">
        <v>1152</v>
      </c>
      <c r="U176" s="1483">
        <f>L169*$B$33+$C$33</f>
        <v>21.537866297711005</v>
      </c>
      <c r="Y176" s="6"/>
      <c r="AE176" t="s">
        <v>1252</v>
      </c>
      <c r="AF176" s="4"/>
      <c r="AG176" s="4"/>
    </row>
    <row r="177" spans="3:33" x14ac:dyDescent="0.25">
      <c r="C177" s="5"/>
      <c r="D177" s="7"/>
      <c r="E177" s="17"/>
      <c r="F177" s="17"/>
      <c r="G177" s="17"/>
      <c r="H177" s="17"/>
      <c r="I177" s="17"/>
      <c r="J177" s="17"/>
      <c r="K177" s="17"/>
      <c r="L177" s="17"/>
      <c r="M177" s="17"/>
      <c r="N177" s="17"/>
      <c r="O177" s="1620"/>
      <c r="P177" s="118"/>
      <c r="Q177" s="21" t="s">
        <v>1153</v>
      </c>
      <c r="R177" s="1302">
        <f>F170*$B$39+$C$39</f>
        <v>67500</v>
      </c>
      <c r="S177" s="118"/>
      <c r="T177" s="21" t="s">
        <v>1153</v>
      </c>
      <c r="U177" s="1484">
        <f>L170*$B$39+$C$39</f>
        <v>56922.332872138752</v>
      </c>
      <c r="Y177" s="6"/>
      <c r="AE177" t="s">
        <v>1253</v>
      </c>
      <c r="AF177" s="4"/>
      <c r="AG177" s="4"/>
    </row>
    <row r="178" spans="3:33" ht="15.75" thickBot="1" x14ac:dyDescent="0.3">
      <c r="C178" s="5"/>
      <c r="D178" s="7"/>
      <c r="E178" s="17"/>
      <c r="F178" s="17"/>
      <c r="G178" s="17"/>
      <c r="H178" s="17"/>
      <c r="I178" s="17"/>
      <c r="J178" s="17"/>
      <c r="K178" s="17"/>
      <c r="L178" s="17"/>
      <c r="M178" s="17"/>
      <c r="N178" s="17"/>
      <c r="O178" s="1623"/>
      <c r="P178" s="859"/>
      <c r="Q178" s="252"/>
      <c r="R178" s="252"/>
      <c r="S178" s="859"/>
      <c r="T178" s="252"/>
      <c r="U178" s="250"/>
      <c r="Y178" s="6"/>
      <c r="AA178" s="4"/>
      <c r="AB178" s="4"/>
      <c r="AC178" s="4"/>
      <c r="AD178" s="4"/>
      <c r="AF178" s="4"/>
      <c r="AG178" s="4"/>
    </row>
    <row r="179" spans="3:33" x14ac:dyDescent="0.25">
      <c r="C179" s="5"/>
      <c r="D179" s="7"/>
      <c r="E179" s="17"/>
      <c r="F179" s="17"/>
      <c r="G179" s="17"/>
      <c r="H179" s="17"/>
      <c r="I179" s="17"/>
      <c r="J179" s="17"/>
      <c r="K179" s="17"/>
      <c r="L179" s="17"/>
      <c r="M179" s="17"/>
      <c r="N179" s="17"/>
      <c r="T179" s="647"/>
      <c r="U179" s="1487" t="s">
        <v>1151</v>
      </c>
      <c r="Y179" s="6"/>
      <c r="AA179" s="4"/>
      <c r="AB179" s="4"/>
      <c r="AC179" s="4"/>
      <c r="AD179" s="4"/>
      <c r="AE179" s="4" t="s">
        <v>1249</v>
      </c>
      <c r="AF179" s="4"/>
      <c r="AG179" s="4"/>
    </row>
    <row r="180" spans="3:33" x14ac:dyDescent="0.25">
      <c r="C180" s="5"/>
      <c r="D180" s="7"/>
      <c r="E180" s="17"/>
      <c r="F180" s="17"/>
      <c r="G180" s="17"/>
      <c r="H180" s="17"/>
      <c r="I180" s="17"/>
      <c r="J180" s="17"/>
      <c r="K180" s="17"/>
      <c r="L180" s="17"/>
      <c r="M180" s="17"/>
      <c r="N180" s="17"/>
      <c r="U180" s="1487" t="s">
        <v>1247</v>
      </c>
      <c r="Y180" s="6"/>
      <c r="AA180" s="4"/>
      <c r="AB180" s="4"/>
      <c r="AC180" s="4"/>
      <c r="AD180" s="4"/>
      <c r="AE180" s="4" t="s">
        <v>1250</v>
      </c>
      <c r="AF180" s="4"/>
      <c r="AG180" s="4"/>
    </row>
    <row r="181" spans="3:33" x14ac:dyDescent="0.25">
      <c r="C181" s="5"/>
      <c r="D181" s="7"/>
      <c r="E181" s="17"/>
      <c r="F181" s="17"/>
      <c r="G181" s="17"/>
      <c r="H181" s="17"/>
      <c r="I181" s="17"/>
      <c r="J181" s="17"/>
      <c r="K181" s="17"/>
      <c r="L181" s="17"/>
      <c r="M181" s="17"/>
      <c r="N181" s="17"/>
      <c r="O181" s="17"/>
      <c r="P181" s="17"/>
      <c r="Q181" s="17"/>
      <c r="R181" s="17"/>
      <c r="S181" s="17"/>
      <c r="T181" s="17"/>
      <c r="U181" s="17"/>
      <c r="V181" s="17"/>
      <c r="W181" s="17"/>
      <c r="X181" s="7"/>
      <c r="Y181" s="6"/>
      <c r="AA181" s="4"/>
      <c r="AB181" s="4"/>
      <c r="AC181" s="4"/>
      <c r="AD181" s="4"/>
      <c r="AF181" s="4"/>
      <c r="AG181" s="4"/>
    </row>
    <row r="182" spans="3:33" x14ac:dyDescent="0.25">
      <c r="C182" s="2"/>
      <c r="D182" s="245"/>
      <c r="E182" s="257"/>
      <c r="F182" s="257"/>
      <c r="G182" s="257"/>
      <c r="H182" s="257"/>
      <c r="I182" s="257"/>
      <c r="J182" s="257"/>
      <c r="K182" s="257"/>
      <c r="L182" s="257"/>
      <c r="M182" s="257"/>
      <c r="N182" s="257"/>
      <c r="O182" s="257"/>
      <c r="P182" s="257"/>
      <c r="Q182" s="257"/>
      <c r="R182" s="257"/>
      <c r="S182" s="257"/>
      <c r="T182" s="257"/>
      <c r="U182" s="257"/>
      <c r="V182" s="257"/>
      <c r="W182" s="257"/>
      <c r="X182" s="245"/>
      <c r="Y182" s="3"/>
      <c r="AA182" s="4"/>
      <c r="AB182" s="4"/>
      <c r="AC182" s="4"/>
      <c r="AD182" s="4"/>
      <c r="AE182" s="4" t="s">
        <v>1254</v>
      </c>
      <c r="AF182" s="4"/>
      <c r="AG182" s="4"/>
    </row>
    <row r="184" spans="3:33" x14ac:dyDescent="0.25">
      <c r="AE184" s="4" t="s">
        <v>1256</v>
      </c>
    </row>
    <row r="185" spans="3:33" x14ac:dyDescent="0.25">
      <c r="AE185" t="s">
        <v>1255</v>
      </c>
    </row>
    <row r="186" spans="3:33" x14ac:dyDescent="0.25">
      <c r="J186" s="1418"/>
      <c r="T186"/>
    </row>
    <row r="187" spans="3:33" x14ac:dyDescent="0.25">
      <c r="T187"/>
    </row>
    <row r="188" spans="3:33" x14ac:dyDescent="0.25">
      <c r="K188" s="84"/>
      <c r="L188" s="84"/>
      <c r="M188" s="84"/>
      <c r="N188" s="84"/>
      <c r="O188" s="84"/>
      <c r="P188" s="84"/>
      <c r="Q188" s="84"/>
      <c r="R188" s="84"/>
      <c r="S188" s="84"/>
      <c r="T188"/>
    </row>
    <row r="189" spans="3:33" x14ac:dyDescent="0.25">
      <c r="J189" s="25"/>
      <c r="K189" s="724"/>
      <c r="L189" s="724"/>
      <c r="M189" s="724"/>
      <c r="N189" s="724"/>
      <c r="O189" s="724"/>
      <c r="P189" s="724"/>
      <c r="Q189" s="724"/>
      <c r="R189" s="724"/>
      <c r="S189" s="724"/>
      <c r="T189"/>
    </row>
    <row r="190" spans="3:33" x14ac:dyDescent="0.25">
      <c r="J190" s="25"/>
      <c r="K190" s="724"/>
      <c r="L190" s="724"/>
      <c r="M190" s="724"/>
      <c r="N190" s="724"/>
      <c r="O190" s="724"/>
      <c r="P190" s="724"/>
      <c r="Q190" s="724"/>
      <c r="R190" s="724"/>
      <c r="S190" s="724"/>
      <c r="T190"/>
    </row>
    <row r="191" spans="3:33" x14ac:dyDescent="0.25">
      <c r="J191" s="25"/>
      <c r="K191" s="724"/>
      <c r="L191" s="724"/>
      <c r="M191" s="724"/>
      <c r="N191" s="724"/>
      <c r="O191" s="724"/>
      <c r="P191" s="724"/>
      <c r="Q191" s="724"/>
      <c r="R191" s="724"/>
      <c r="S191" s="724"/>
      <c r="T191"/>
    </row>
    <row r="192" spans="3:33" x14ac:dyDescent="0.25">
      <c r="J192" s="25"/>
      <c r="K192" s="724"/>
      <c r="L192" s="724"/>
      <c r="M192" s="724"/>
      <c r="N192" s="724"/>
      <c r="O192" s="724"/>
      <c r="P192" s="724"/>
      <c r="Q192" s="724"/>
      <c r="R192" s="724"/>
      <c r="S192" s="724"/>
      <c r="T192"/>
    </row>
    <row r="193" spans="3:20" x14ac:dyDescent="0.25">
      <c r="T193"/>
    </row>
    <row r="198" spans="3:20" x14ac:dyDescent="0.25">
      <c r="C198" s="8"/>
      <c r="D198" s="8"/>
      <c r="E198" s="140"/>
      <c r="F198" s="8"/>
    </row>
    <row r="199" spans="3:20" x14ac:dyDescent="0.25">
      <c r="C199" s="8"/>
      <c r="D199" s="479"/>
      <c r="E199" s="8"/>
      <c r="F199" s="8"/>
    </row>
    <row r="200" spans="3:20" x14ac:dyDescent="0.25">
      <c r="C200" s="140"/>
      <c r="D200" s="479"/>
      <c r="E200" s="140"/>
      <c r="F200" s="8"/>
    </row>
  </sheetData>
  <mergeCells count="159">
    <mergeCell ref="B42:B45"/>
    <mergeCell ref="KM47:MH47"/>
    <mergeCell ref="MI47:OD47"/>
    <mergeCell ref="OE47:PZ47"/>
    <mergeCell ref="KM46:LB46"/>
    <mergeCell ref="LC46:LR46"/>
    <mergeCell ref="LS46:MH46"/>
    <mergeCell ref="MI46:MX46"/>
    <mergeCell ref="MY46:NN46"/>
    <mergeCell ref="NO46:OD46"/>
    <mergeCell ref="OE46:OT46"/>
    <mergeCell ref="OU46:PJ46"/>
    <mergeCell ref="PK46:PZ46"/>
    <mergeCell ref="KM45:KT45"/>
    <mergeCell ref="KU45:LB45"/>
    <mergeCell ref="LC45:LJ45"/>
    <mergeCell ref="LK45:LR45"/>
    <mergeCell ref="LS45:LZ45"/>
    <mergeCell ref="MA45:MH45"/>
    <mergeCell ref="MI45:MP45"/>
    <mergeCell ref="OM45:OT45"/>
    <mergeCell ref="OU45:PB45"/>
    <mergeCell ref="PC45:PJ45"/>
    <mergeCell ref="PK45:PR45"/>
    <mergeCell ref="PS45:PZ45"/>
    <mergeCell ref="KM44:KP44"/>
    <mergeCell ref="KQ44:KT44"/>
    <mergeCell ref="KU44:KX44"/>
    <mergeCell ref="KY44:LB44"/>
    <mergeCell ref="LC44:LF44"/>
    <mergeCell ref="MQ45:MX45"/>
    <mergeCell ref="MY45:NF45"/>
    <mergeCell ref="NG45:NN45"/>
    <mergeCell ref="NO45:NV45"/>
    <mergeCell ref="NW45:OD45"/>
    <mergeCell ref="OE45:OL45"/>
    <mergeCell ref="ME44:MH44"/>
    <mergeCell ref="MI44:ML44"/>
    <mergeCell ref="MM44:MP44"/>
    <mergeCell ref="MQ44:MT44"/>
    <mergeCell ref="MU44:MX44"/>
    <mergeCell ref="MY44:NB44"/>
    <mergeCell ref="LG44:LJ44"/>
    <mergeCell ref="LK44:LN44"/>
    <mergeCell ref="LO44:LR44"/>
    <mergeCell ref="LS44:LV44"/>
    <mergeCell ref="LW44:LZ44"/>
    <mergeCell ref="MA44:MD44"/>
    <mergeCell ref="OI44:OL44"/>
    <mergeCell ref="OM44:OP44"/>
    <mergeCell ref="OQ44:OT44"/>
    <mergeCell ref="OU44:OX44"/>
    <mergeCell ref="NC44:NF44"/>
    <mergeCell ref="NG44:NJ44"/>
    <mergeCell ref="NK44:NN44"/>
    <mergeCell ref="NO44:NR44"/>
    <mergeCell ref="NS44:NV44"/>
    <mergeCell ref="NW44:NZ44"/>
    <mergeCell ref="LE43:LF43"/>
    <mergeCell ref="LG43:LH43"/>
    <mergeCell ref="LI43:LJ43"/>
    <mergeCell ref="LK43:LL43"/>
    <mergeCell ref="LM43:LN43"/>
    <mergeCell ref="LO43:LP43"/>
    <mergeCell ref="PW44:PZ44"/>
    <mergeCell ref="KM43:KN43"/>
    <mergeCell ref="KO43:KP43"/>
    <mergeCell ref="KQ43:KR43"/>
    <mergeCell ref="KS43:KT43"/>
    <mergeCell ref="KU43:KV43"/>
    <mergeCell ref="KW43:KX43"/>
    <mergeCell ref="KY43:KZ43"/>
    <mergeCell ref="LA43:LB43"/>
    <mergeCell ref="LC43:LD43"/>
    <mergeCell ref="OY44:PB44"/>
    <mergeCell ref="PC44:PF44"/>
    <mergeCell ref="PG44:PJ44"/>
    <mergeCell ref="PK44:PN44"/>
    <mergeCell ref="PO44:PR44"/>
    <mergeCell ref="PS44:PV44"/>
    <mergeCell ref="OA44:OD44"/>
    <mergeCell ref="OE44:OH44"/>
    <mergeCell ref="MC43:MD43"/>
    <mergeCell ref="ME43:MF43"/>
    <mergeCell ref="MG43:MH43"/>
    <mergeCell ref="MI43:MJ43"/>
    <mergeCell ref="MK43:ML43"/>
    <mergeCell ref="MM43:MN43"/>
    <mergeCell ref="LQ43:LR43"/>
    <mergeCell ref="LS43:LT43"/>
    <mergeCell ref="LU43:LV43"/>
    <mergeCell ref="LW43:LX43"/>
    <mergeCell ref="LY43:LZ43"/>
    <mergeCell ref="MA43:MB43"/>
    <mergeCell ref="NA43:NB43"/>
    <mergeCell ref="NC43:ND43"/>
    <mergeCell ref="NE43:NF43"/>
    <mergeCell ref="NG43:NH43"/>
    <mergeCell ref="NI43:NJ43"/>
    <mergeCell ref="NK43:NL43"/>
    <mergeCell ref="MO43:MP43"/>
    <mergeCell ref="MQ43:MR43"/>
    <mergeCell ref="MS43:MT43"/>
    <mergeCell ref="MU43:MV43"/>
    <mergeCell ref="MW43:MX43"/>
    <mergeCell ref="MY43:MZ43"/>
    <mergeCell ref="NY43:NZ43"/>
    <mergeCell ref="OA43:OB43"/>
    <mergeCell ref="OC43:OD43"/>
    <mergeCell ref="OE43:OF43"/>
    <mergeCell ref="OG43:OH43"/>
    <mergeCell ref="OI43:OJ43"/>
    <mergeCell ref="NM43:NN43"/>
    <mergeCell ref="NO43:NP43"/>
    <mergeCell ref="NQ43:NR43"/>
    <mergeCell ref="NS43:NT43"/>
    <mergeCell ref="NU43:NV43"/>
    <mergeCell ref="NW43:NX43"/>
    <mergeCell ref="PU43:PV43"/>
    <mergeCell ref="PW43:PX43"/>
    <mergeCell ref="PY43:PZ43"/>
    <mergeCell ref="D121:D126"/>
    <mergeCell ref="D127:D132"/>
    <mergeCell ref="D133:D138"/>
    <mergeCell ref="PI43:PJ43"/>
    <mergeCell ref="PK43:PL43"/>
    <mergeCell ref="PM43:PN43"/>
    <mergeCell ref="PO43:PP43"/>
    <mergeCell ref="PQ43:PR43"/>
    <mergeCell ref="PS43:PT43"/>
    <mergeCell ref="OW43:OX43"/>
    <mergeCell ref="OY43:OZ43"/>
    <mergeCell ref="PA43:PB43"/>
    <mergeCell ref="PC43:PD43"/>
    <mergeCell ref="PE43:PF43"/>
    <mergeCell ref="PG43:PH43"/>
    <mergeCell ref="OK43:OL43"/>
    <mergeCell ref="OM43:ON43"/>
    <mergeCell ref="OO43:OP43"/>
    <mergeCell ref="OQ43:OR43"/>
    <mergeCell ref="OS43:OT43"/>
    <mergeCell ref="OU43:OV43"/>
    <mergeCell ref="S165:U166"/>
    <mergeCell ref="O167:O172"/>
    <mergeCell ref="O173:O178"/>
    <mergeCell ref="E119:G120"/>
    <mergeCell ref="H119:J120"/>
    <mergeCell ref="K119:M120"/>
    <mergeCell ref="P132:R133"/>
    <mergeCell ref="D166:D171"/>
    <mergeCell ref="P165:R166"/>
    <mergeCell ref="D154:D159"/>
    <mergeCell ref="D160:D165"/>
    <mergeCell ref="E152:G153"/>
    <mergeCell ref="H152:J153"/>
    <mergeCell ref="K152:M153"/>
    <mergeCell ref="O134:O139"/>
    <mergeCell ref="O140:O145"/>
    <mergeCell ref="S132:U133"/>
  </mergeCells>
  <phoneticPr fontId="39"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3:AS123"/>
  <sheetViews>
    <sheetView topLeftCell="A10" zoomScaleNormal="100" workbookViewId="0">
      <selection activeCell="K11" sqref="K10:K11"/>
    </sheetView>
  </sheetViews>
  <sheetFormatPr defaultRowHeight="15" x14ac:dyDescent="0.25"/>
  <cols>
    <col min="1" max="1" width="13.85546875" customWidth="1"/>
    <col min="3" max="3" width="14" customWidth="1"/>
    <col min="4" max="7" width="11.42578125" style="33" customWidth="1"/>
    <col min="8" max="8" width="11.7109375" style="33" customWidth="1"/>
    <col min="9" max="9" width="12" style="33" customWidth="1"/>
    <col min="12" max="12" width="9.42578125" customWidth="1"/>
    <col min="13" max="13" width="12.7109375" customWidth="1"/>
    <col min="14" max="14" width="10.28515625" customWidth="1"/>
    <col min="15" max="15" width="10.42578125" customWidth="1"/>
    <col min="16" max="19" width="9.28515625" customWidth="1"/>
    <col min="20" max="20" width="10" customWidth="1"/>
    <col min="21" max="21" width="9.42578125" customWidth="1"/>
    <col min="23" max="23" width="12.140625" customWidth="1"/>
    <col min="24" max="24" width="10.5703125" customWidth="1"/>
    <col min="27" max="27" width="11.140625" customWidth="1"/>
  </cols>
  <sheetData>
    <row r="3" spans="1:26" ht="56.25" customHeight="1" x14ac:dyDescent="0.9">
      <c r="C3" s="423" t="s">
        <v>121</v>
      </c>
    </row>
    <row r="6" spans="1:26" x14ac:dyDescent="0.25">
      <c r="C6" s="1649" t="s">
        <v>122</v>
      </c>
      <c r="D6" s="1650"/>
      <c r="E6" s="1650"/>
      <c r="F6" s="1650"/>
      <c r="G6" s="1650"/>
      <c r="H6" s="1650"/>
      <c r="I6" s="1650"/>
      <c r="J6" s="1650"/>
      <c r="K6" s="1650"/>
      <c r="L6" s="1650"/>
      <c r="M6" s="1650"/>
      <c r="N6" s="1650"/>
      <c r="O6" s="1651"/>
      <c r="P6" s="312"/>
      <c r="Q6" s="312"/>
      <c r="R6" s="312"/>
      <c r="S6" s="312"/>
    </row>
    <row r="7" spans="1:26" x14ac:dyDescent="0.25">
      <c r="C7" s="1652"/>
      <c r="D7" s="1653"/>
      <c r="E7" s="1653"/>
      <c r="F7" s="1653"/>
      <c r="G7" s="1653"/>
      <c r="H7" s="1653"/>
      <c r="I7" s="1653"/>
      <c r="J7" s="1653"/>
      <c r="K7" s="1653"/>
      <c r="L7" s="1653"/>
      <c r="M7" s="1653"/>
      <c r="N7" s="1653"/>
      <c r="O7" s="1654"/>
      <c r="P7" s="312"/>
      <c r="Q7" s="312"/>
      <c r="R7" s="312"/>
      <c r="S7" s="312"/>
    </row>
    <row r="8" spans="1:26" x14ac:dyDescent="0.25">
      <c r="C8" s="1655"/>
      <c r="D8" s="1656"/>
      <c r="E8" s="1656"/>
      <c r="F8" s="1656"/>
      <c r="G8" s="1656"/>
      <c r="H8" s="1656"/>
      <c r="I8" s="1656"/>
      <c r="J8" s="1656"/>
      <c r="K8" s="1656"/>
      <c r="L8" s="1656"/>
      <c r="M8" s="1656"/>
      <c r="N8" s="1656"/>
      <c r="O8" s="1657"/>
      <c r="P8" s="312"/>
      <c r="Q8" s="312"/>
      <c r="R8" s="312"/>
      <c r="S8" s="312"/>
    </row>
    <row r="10" spans="1:26" ht="15.75" thickBot="1" x14ac:dyDescent="0.3">
      <c r="A10" s="7"/>
      <c r="B10" s="13"/>
      <c r="C10" s="13"/>
      <c r="D10" s="238"/>
      <c r="E10" s="238"/>
      <c r="F10" s="238"/>
      <c r="G10" s="238"/>
      <c r="H10" s="238"/>
      <c r="I10" s="238"/>
      <c r="J10" s="13"/>
      <c r="K10" s="13"/>
      <c r="L10" s="13"/>
      <c r="M10" s="13"/>
      <c r="N10" s="13"/>
      <c r="O10" s="13"/>
      <c r="P10" s="13"/>
      <c r="Q10" s="13"/>
      <c r="R10" s="13"/>
      <c r="S10" s="13"/>
      <c r="T10" s="13"/>
      <c r="U10" s="13"/>
      <c r="V10" s="13"/>
      <c r="W10" s="13"/>
      <c r="X10" s="13"/>
      <c r="Y10" s="13"/>
      <c r="Z10" s="13"/>
    </row>
    <row r="11" spans="1:26" ht="21.75" thickTop="1" x14ac:dyDescent="0.35">
      <c r="A11" s="7"/>
      <c r="C11" s="139" t="s">
        <v>123</v>
      </c>
    </row>
    <row r="12" spans="1:26" x14ac:dyDescent="0.25">
      <c r="L12" s="7"/>
      <c r="M12" s="18"/>
      <c r="N12" s="7"/>
      <c r="O12" s="7"/>
      <c r="P12" s="7"/>
      <c r="Q12" s="7"/>
      <c r="R12" s="7"/>
      <c r="S12" s="7"/>
      <c r="T12" s="7"/>
    </row>
    <row r="13" spans="1:26" x14ac:dyDescent="0.25">
      <c r="B13" s="1564" t="s">
        <v>159</v>
      </c>
      <c r="C13" s="150" t="s">
        <v>4</v>
      </c>
      <c r="D13" s="264" t="s">
        <v>804</v>
      </c>
      <c r="E13" s="264"/>
      <c r="F13" s="264"/>
      <c r="G13" s="264"/>
      <c r="H13" s="259"/>
      <c r="L13" s="7"/>
      <c r="M13" s="18"/>
      <c r="N13" s="7"/>
      <c r="O13" s="7"/>
      <c r="P13" s="7"/>
      <c r="Q13" s="7"/>
      <c r="R13" s="7"/>
      <c r="S13" s="7"/>
      <c r="T13" s="7"/>
    </row>
    <row r="14" spans="1:26" x14ac:dyDescent="0.25">
      <c r="B14" s="1565"/>
      <c r="C14" s="17" t="s">
        <v>130</v>
      </c>
      <c r="D14" s="17" t="s">
        <v>3</v>
      </c>
      <c r="E14" s="17"/>
      <c r="F14" s="17"/>
      <c r="G14" s="17"/>
      <c r="H14" s="239"/>
      <c r="L14" s="7"/>
      <c r="M14" s="18"/>
      <c r="N14" s="7"/>
      <c r="O14" s="7"/>
      <c r="P14" s="7"/>
      <c r="Q14" s="7"/>
      <c r="R14" s="7"/>
      <c r="S14" s="7"/>
      <c r="T14" s="7"/>
    </row>
    <row r="15" spans="1:26" x14ac:dyDescent="0.25">
      <c r="B15" s="1566"/>
      <c r="C15" s="257" t="s">
        <v>131</v>
      </c>
      <c r="D15" s="257" t="s">
        <v>2</v>
      </c>
      <c r="E15" s="257"/>
      <c r="F15" s="257"/>
      <c r="G15" s="257"/>
      <c r="H15" s="260"/>
      <c r="L15" s="7"/>
      <c r="M15" s="18"/>
      <c r="N15" s="7"/>
      <c r="O15" s="7"/>
      <c r="P15" s="7"/>
      <c r="Q15" s="7"/>
      <c r="R15" s="7"/>
      <c r="S15" s="7"/>
      <c r="T15" s="7"/>
    </row>
    <row r="16" spans="1:26" x14ac:dyDescent="0.25">
      <c r="B16" s="256"/>
      <c r="C16" s="33"/>
      <c r="L16" s="7"/>
      <c r="M16" s="18"/>
      <c r="N16" s="7"/>
      <c r="O16" s="7"/>
      <c r="P16" s="7"/>
      <c r="Q16" s="7"/>
      <c r="R16" s="7"/>
      <c r="S16" s="7"/>
      <c r="T16" s="7"/>
    </row>
    <row r="17" spans="2:23" x14ac:dyDescent="0.25">
      <c r="B17" s="1564" t="s">
        <v>148</v>
      </c>
      <c r="C17" s="150" t="s">
        <v>160</v>
      </c>
      <c r="D17" s="268" t="s">
        <v>161</v>
      </c>
      <c r="E17" s="264" t="s">
        <v>162</v>
      </c>
      <c r="F17" s="264"/>
      <c r="G17" s="264"/>
      <c r="H17" s="259"/>
      <c r="L17" s="7"/>
      <c r="M17" s="18"/>
      <c r="N17" s="7"/>
      <c r="O17" s="7"/>
      <c r="P17" s="7"/>
      <c r="Q17" s="7"/>
      <c r="R17" s="7"/>
      <c r="S17" s="7"/>
      <c r="T17" s="7"/>
    </row>
    <row r="18" spans="2:23" x14ac:dyDescent="0.25">
      <c r="B18" s="1565"/>
      <c r="C18" s="17" t="s">
        <v>135</v>
      </c>
      <c r="D18" s="254">
        <f>COUNTA(D25:E25)</f>
        <v>2</v>
      </c>
      <c r="E18" s="17" t="s">
        <v>136</v>
      </c>
      <c r="F18" s="17"/>
      <c r="G18" s="17"/>
      <c r="H18" s="239"/>
      <c r="L18" s="7"/>
      <c r="M18" s="18"/>
      <c r="N18" s="7"/>
      <c r="O18" s="7"/>
      <c r="P18" s="7"/>
      <c r="Q18" s="7"/>
      <c r="R18" s="7"/>
      <c r="S18" s="7"/>
      <c r="T18" s="7"/>
    </row>
    <row r="19" spans="2:23" x14ac:dyDescent="0.25">
      <c r="B19" s="1565"/>
      <c r="C19" s="17" t="s">
        <v>5</v>
      </c>
      <c r="D19" s="253">
        <v>1</v>
      </c>
      <c r="E19" s="17" t="s">
        <v>139</v>
      </c>
      <c r="F19" s="17"/>
      <c r="G19" s="17"/>
      <c r="H19" s="239"/>
      <c r="L19" s="7"/>
      <c r="M19" s="18"/>
      <c r="N19" s="7"/>
      <c r="O19" s="7"/>
      <c r="P19" s="7"/>
      <c r="Q19" s="7"/>
      <c r="R19" s="7"/>
      <c r="S19" s="7"/>
      <c r="T19" s="7"/>
    </row>
    <row r="20" spans="2:23" x14ac:dyDescent="0.25">
      <c r="B20" s="1566"/>
      <c r="C20" s="245" t="s">
        <v>137</v>
      </c>
      <c r="D20" s="269">
        <f>H26</f>
        <v>0.69314718055994529</v>
      </c>
      <c r="E20" s="245" t="s">
        <v>138</v>
      </c>
      <c r="F20" s="257"/>
      <c r="G20" s="257"/>
      <c r="H20" s="260"/>
      <c r="L20" s="7"/>
      <c r="M20" s="18"/>
      <c r="N20" s="7"/>
      <c r="O20" s="7"/>
      <c r="P20" s="7"/>
      <c r="Q20" s="7"/>
      <c r="R20" s="7"/>
      <c r="S20" s="7"/>
      <c r="T20" s="7"/>
    </row>
    <row r="21" spans="2:23" x14ac:dyDescent="0.25">
      <c r="E21" s="259"/>
      <c r="L21" s="7"/>
      <c r="M21" s="18"/>
      <c r="N21" s="7"/>
      <c r="O21" s="7"/>
      <c r="P21" s="7"/>
      <c r="Q21" s="7"/>
      <c r="R21" s="7"/>
      <c r="S21" s="7"/>
      <c r="T21" s="7"/>
    </row>
    <row r="22" spans="2:23" s="7" customFormat="1" x14ac:dyDescent="0.25">
      <c r="B22"/>
      <c r="D22" s="17"/>
      <c r="E22" s="239"/>
      <c r="F22" s="33"/>
      <c r="G22" s="33"/>
      <c r="H22" s="33"/>
      <c r="I22" s="33"/>
      <c r="J22"/>
      <c r="K22"/>
      <c r="U22"/>
      <c r="V22"/>
      <c r="W22" s="8"/>
    </row>
    <row r="23" spans="2:23" s="7" customFormat="1" x14ac:dyDescent="0.25">
      <c r="B23"/>
      <c r="C23"/>
      <c r="D23" s="33"/>
      <c r="E23" s="260"/>
      <c r="F23" s="33"/>
      <c r="G23" s="33"/>
      <c r="H23" s="33"/>
      <c r="I23" s="33"/>
      <c r="J23"/>
      <c r="K23"/>
      <c r="L23"/>
      <c r="M23"/>
      <c r="N23"/>
      <c r="O23"/>
      <c r="P23"/>
      <c r="Q23"/>
      <c r="R23"/>
      <c r="S23"/>
      <c r="T23"/>
      <c r="U23"/>
      <c r="V23"/>
      <c r="W23" s="8"/>
    </row>
    <row r="24" spans="2:23" s="7" customFormat="1" ht="24.75" customHeight="1" x14ac:dyDescent="0.25">
      <c r="C24"/>
      <c r="D24" s="61" t="s">
        <v>12</v>
      </c>
      <c r="E24" s="62"/>
      <c r="F24" s="62" t="s">
        <v>13</v>
      </c>
      <c r="G24" s="63"/>
      <c r="H24" s="61" t="s">
        <v>115</v>
      </c>
      <c r="I24" s="63" t="s">
        <v>35</v>
      </c>
      <c r="J24" s="20"/>
      <c r="T24" s="20"/>
      <c r="U24"/>
      <c r="V24" s="20"/>
    </row>
    <row r="25" spans="2:23" s="7" customFormat="1" ht="15.75" thickBot="1" x14ac:dyDescent="0.3">
      <c r="B25" s="34" t="s">
        <v>805</v>
      </c>
      <c r="C25" s="21" t="s">
        <v>806</v>
      </c>
      <c r="D25" s="172" t="s">
        <v>130</v>
      </c>
      <c r="E25" s="173" t="s">
        <v>131</v>
      </c>
      <c r="F25" s="174" t="s">
        <v>130</v>
      </c>
      <c r="G25" s="175" t="s">
        <v>131</v>
      </c>
      <c r="H25" s="42">
        <v>0</v>
      </c>
      <c r="I25" s="43"/>
      <c r="U25"/>
    </row>
    <row r="26" spans="2:23" s="7" customFormat="1" ht="18" customHeight="1" thickTop="1" x14ac:dyDescent="0.25">
      <c r="B26" s="25" t="s">
        <v>39</v>
      </c>
      <c r="C26" s="1324">
        <v>40954</v>
      </c>
      <c r="D26" s="350">
        <v>0</v>
      </c>
      <c r="E26" s="352">
        <v>0</v>
      </c>
      <c r="F26" s="324">
        <f t="shared" ref="F26:G32" si="0">EXP(D26/$D$19)/(EXP($E26/$D$19)+EXP($D26/$D$19))</f>
        <v>0.5</v>
      </c>
      <c r="G26" s="209">
        <f t="shared" si="0"/>
        <v>0.5</v>
      </c>
      <c r="H26" s="262">
        <f t="shared" ref="H26:H33" si="1">$D$19*LN(EXP($E26/$D$19)+EXP($D26/$D$19))</f>
        <v>0.69314718055994529</v>
      </c>
      <c r="I26" s="46">
        <f t="shared" ref="I26:I32" si="2">(H26-H25)</f>
        <v>0.69314718055994529</v>
      </c>
      <c r="U26"/>
    </row>
    <row r="27" spans="2:23" s="7" customFormat="1" ht="15.75" thickBot="1" x14ac:dyDescent="0.3">
      <c r="B27" s="25" t="s">
        <v>37</v>
      </c>
      <c r="C27" s="1324">
        <v>40955</v>
      </c>
      <c r="D27" s="358">
        <v>1</v>
      </c>
      <c r="E27" s="360">
        <v>0</v>
      </c>
      <c r="F27" s="326">
        <f t="shared" si="0"/>
        <v>0.7310585786300049</v>
      </c>
      <c r="G27" s="227">
        <f t="shared" si="0"/>
        <v>0.2689414213699951</v>
      </c>
      <c r="H27" s="285">
        <f t="shared" si="1"/>
        <v>1.3132616875182228</v>
      </c>
      <c r="I27" s="49">
        <f t="shared" si="2"/>
        <v>0.62011450695827752</v>
      </c>
      <c r="K27" s="1275" t="s">
        <v>132</v>
      </c>
      <c r="L27" s="1276"/>
      <c r="M27" s="1276"/>
      <c r="N27" s="1276"/>
      <c r="O27" s="1276"/>
      <c r="P27" s="1276"/>
      <c r="Q27" s="1276"/>
      <c r="R27" s="1277"/>
      <c r="U27"/>
    </row>
    <row r="28" spans="2:23" s="7" customFormat="1" ht="15.75" thickBot="1" x14ac:dyDescent="0.3">
      <c r="B28" s="25" t="s">
        <v>40</v>
      </c>
      <c r="C28" s="1324">
        <v>40956</v>
      </c>
      <c r="D28" s="366">
        <f>K28</f>
        <v>1.0986122886681098</v>
      </c>
      <c r="E28" s="360">
        <v>0</v>
      </c>
      <c r="F28" s="375">
        <f t="shared" si="0"/>
        <v>0.75000000000000011</v>
      </c>
      <c r="G28" s="227">
        <f t="shared" si="0"/>
        <v>0.25</v>
      </c>
      <c r="H28" s="285">
        <f t="shared" si="1"/>
        <v>1.3862943611198906</v>
      </c>
      <c r="I28" s="49">
        <f t="shared" si="2"/>
        <v>7.3032673601667764E-2</v>
      </c>
      <c r="K28" s="1322">
        <f>D19*LN(K29/(1-K29))+E28</f>
        <v>1.0986122886681098</v>
      </c>
      <c r="L28" s="1279"/>
      <c r="M28" s="1279"/>
      <c r="N28" s="1279"/>
      <c r="O28" s="1279"/>
      <c r="P28" s="1279"/>
      <c r="Q28" s="1279"/>
      <c r="R28" s="1280"/>
      <c r="U28"/>
    </row>
    <row r="29" spans="2:23" s="7" customFormat="1" x14ac:dyDescent="0.25">
      <c r="B29" s="25" t="s">
        <v>41</v>
      </c>
      <c r="C29" s="1324">
        <v>40957</v>
      </c>
      <c r="D29" s="358">
        <v>0.5</v>
      </c>
      <c r="E29" s="360">
        <v>0</v>
      </c>
      <c r="F29" s="326">
        <f t="shared" si="0"/>
        <v>0.62245933120185459</v>
      </c>
      <c r="G29" s="227">
        <f t="shared" si="0"/>
        <v>0.37754066879814541</v>
      </c>
      <c r="H29" s="285">
        <f t="shared" si="1"/>
        <v>0.97407698418010669</v>
      </c>
      <c r="I29" s="49">
        <f t="shared" si="2"/>
        <v>-0.41221737693978389</v>
      </c>
      <c r="K29" s="1323">
        <v>0.75</v>
      </c>
      <c r="L29" s="1287" t="b">
        <f>K29=F28</f>
        <v>1</v>
      </c>
      <c r="M29" s="1287"/>
      <c r="N29" s="1287"/>
      <c r="O29" s="1287"/>
      <c r="P29" s="1287"/>
      <c r="Q29" s="1287"/>
      <c r="R29" s="1321"/>
      <c r="U29"/>
    </row>
    <row r="30" spans="2:23" s="7" customFormat="1" x14ac:dyDescent="0.25">
      <c r="B30" s="25" t="s">
        <v>133</v>
      </c>
      <c r="C30" s="1324">
        <v>40958</v>
      </c>
      <c r="D30" s="358">
        <v>2.1</v>
      </c>
      <c r="E30" s="360">
        <v>0.8</v>
      </c>
      <c r="F30" s="326">
        <f t="shared" si="0"/>
        <v>0.78583498304255861</v>
      </c>
      <c r="G30" s="227">
        <f t="shared" si="0"/>
        <v>0.21416501695744139</v>
      </c>
      <c r="H30" s="285">
        <f t="shared" si="1"/>
        <v>2.3410084538329925</v>
      </c>
      <c r="I30" s="49">
        <f t="shared" si="2"/>
        <v>1.3669314696528858</v>
      </c>
      <c r="U30"/>
    </row>
    <row r="31" spans="2:23" s="7" customFormat="1" x14ac:dyDescent="0.25">
      <c r="B31" s="21" t="s">
        <v>134</v>
      </c>
      <c r="C31" s="1324">
        <v>40959</v>
      </c>
      <c r="D31" s="358">
        <v>3</v>
      </c>
      <c r="E31" s="360">
        <v>1.1000000000000001</v>
      </c>
      <c r="F31" s="326">
        <f t="shared" si="0"/>
        <v>0.86989152563700223</v>
      </c>
      <c r="G31" s="227">
        <f t="shared" si="0"/>
        <v>0.13010847436299786</v>
      </c>
      <c r="H31" s="285">
        <f t="shared" si="1"/>
        <v>3.1393867582829604</v>
      </c>
      <c r="I31" s="49">
        <f t="shared" si="2"/>
        <v>0.79837830444996793</v>
      </c>
      <c r="U31"/>
    </row>
    <row r="32" spans="2:23" s="7" customFormat="1" ht="15.75" thickBot="1" x14ac:dyDescent="0.3">
      <c r="B32" s="25" t="s">
        <v>38</v>
      </c>
      <c r="C32" s="1324">
        <v>40960</v>
      </c>
      <c r="D32" s="172">
        <v>3</v>
      </c>
      <c r="E32" s="173">
        <v>0.2</v>
      </c>
      <c r="F32" s="328">
        <f t="shared" si="0"/>
        <v>0.94267582410113127</v>
      </c>
      <c r="G32" s="219">
        <f t="shared" si="0"/>
        <v>5.7324175898868741E-2</v>
      </c>
      <c r="H32" s="286">
        <f t="shared" si="1"/>
        <v>3.0590328262879716</v>
      </c>
      <c r="I32" s="113">
        <f t="shared" si="2"/>
        <v>-8.0353931994988859E-2</v>
      </c>
      <c r="U32"/>
    </row>
    <row r="33" spans="2:22" s="7" customFormat="1" ht="16.5" thickTop="1" thickBot="1" x14ac:dyDescent="0.3">
      <c r="B33" s="25" t="s">
        <v>0</v>
      </c>
      <c r="C33" s="1324">
        <v>41228</v>
      </c>
      <c r="D33" s="376">
        <f>D32</f>
        <v>3</v>
      </c>
      <c r="E33" s="373">
        <f>E32</f>
        <v>0.2</v>
      </c>
      <c r="F33" s="469">
        <v>1</v>
      </c>
      <c r="G33" s="470">
        <v>0</v>
      </c>
      <c r="H33" s="261">
        <f t="shared" si="1"/>
        <v>3.0590328262879716</v>
      </c>
      <c r="I33" s="8" t="s">
        <v>43</v>
      </c>
      <c r="J33" s="8"/>
      <c r="T33" s="8"/>
      <c r="U33" s="8"/>
      <c r="V33" s="8"/>
    </row>
    <row r="34" spans="2:22" s="7" customFormat="1" ht="15.75" thickBot="1" x14ac:dyDescent="0.3">
      <c r="B34"/>
      <c r="D34" s="33"/>
      <c r="E34" s="33"/>
      <c r="F34" s="33"/>
      <c r="G34" s="33"/>
      <c r="H34" s="263">
        <f>SUMPRODUCT(D33:E33,F33:G33)</f>
        <v>3</v>
      </c>
      <c r="I34" t="s">
        <v>109</v>
      </c>
      <c r="T34"/>
      <c r="U34"/>
      <c r="V34"/>
    </row>
    <row r="35" spans="2:22" s="7" customFormat="1" ht="15.75" thickBot="1" x14ac:dyDescent="0.3">
      <c r="B35"/>
      <c r="C35"/>
      <c r="D35" s="33"/>
      <c r="E35" s="33"/>
      <c r="F35" s="33"/>
      <c r="G35" s="33"/>
      <c r="H35" s="263">
        <f>H33-H34</f>
        <v>5.9032826287971574E-2</v>
      </c>
      <c r="I35" s="7" t="s">
        <v>807</v>
      </c>
      <c r="T35"/>
      <c r="U35"/>
      <c r="V35"/>
    </row>
    <row r="36" spans="2:22" s="7" customFormat="1" ht="15" customHeight="1" x14ac:dyDescent="0.25">
      <c r="D36" s="17"/>
      <c r="E36" s="17"/>
      <c r="F36" s="17"/>
      <c r="G36" s="17"/>
      <c r="H36" s="53"/>
      <c r="I36" s="54"/>
      <c r="L36" s="255"/>
      <c r="M36" s="255"/>
      <c r="N36" s="255"/>
      <c r="O36" s="255"/>
      <c r="P36" s="255"/>
      <c r="Q36" s="255"/>
      <c r="R36" s="255"/>
      <c r="S36" s="255"/>
      <c r="T36" s="255"/>
      <c r="U36" s="255"/>
    </row>
    <row r="37" spans="2:22" s="7" customFormat="1" x14ac:dyDescent="0.25">
      <c r="D37" s="17"/>
      <c r="E37" s="17"/>
      <c r="F37" s="17"/>
      <c r="G37" s="17"/>
      <c r="H37" s="53"/>
      <c r="I37" s="54"/>
      <c r="K37" s="255"/>
      <c r="L37" s="255"/>
      <c r="M37" s="255"/>
      <c r="N37" s="255"/>
      <c r="O37" s="255"/>
      <c r="P37" s="255"/>
      <c r="Q37" s="255"/>
      <c r="R37" s="255"/>
      <c r="S37" s="255"/>
      <c r="T37" s="255"/>
      <c r="U37" s="255"/>
    </row>
    <row r="38" spans="2:22" s="7" customFormat="1" ht="15" customHeight="1" x14ac:dyDescent="0.25">
      <c r="C38" s="1658" t="s">
        <v>117</v>
      </c>
      <c r="D38" s="1658"/>
      <c r="E38" s="1658"/>
      <c r="F38" s="1658"/>
      <c r="G38" s="1658"/>
      <c r="H38" s="1658"/>
      <c r="I38" s="1658"/>
      <c r="J38" s="1658"/>
      <c r="K38" s="1658"/>
      <c r="L38" s="1658"/>
      <c r="M38" s="1658"/>
      <c r="N38" s="255"/>
      <c r="O38" s="255"/>
      <c r="P38" s="255"/>
      <c r="Q38" s="255"/>
      <c r="R38" s="255"/>
      <c r="S38" s="255"/>
      <c r="T38" s="255"/>
      <c r="U38" s="255"/>
    </row>
    <row r="39" spans="2:22" s="7" customFormat="1" x14ac:dyDescent="0.25">
      <c r="C39" s="1658"/>
      <c r="D39" s="1658"/>
      <c r="E39" s="1658"/>
      <c r="F39" s="1658"/>
      <c r="G39" s="1658"/>
      <c r="H39" s="1658"/>
      <c r="I39" s="1658"/>
      <c r="J39" s="1658"/>
      <c r="K39" s="1658"/>
      <c r="L39" s="1658"/>
      <c r="M39" s="1658"/>
      <c r="N39" s="255"/>
      <c r="O39" s="255"/>
      <c r="P39" s="255"/>
      <c r="Q39" s="255"/>
      <c r="R39" s="255"/>
      <c r="S39" s="255"/>
      <c r="T39" s="255"/>
      <c r="U39" s="255"/>
    </row>
    <row r="40" spans="2:22" s="7" customFormat="1" x14ac:dyDescent="0.25">
      <c r="C40" s="1658"/>
      <c r="D40" s="1658"/>
      <c r="E40" s="1658"/>
      <c r="F40" s="1658"/>
      <c r="G40" s="1658"/>
      <c r="H40" s="1658"/>
      <c r="I40" s="1658"/>
      <c r="J40" s="1658"/>
      <c r="K40" s="1658"/>
      <c r="L40" s="1658"/>
      <c r="M40" s="1658"/>
      <c r="N40" s="255"/>
      <c r="O40" s="255"/>
      <c r="P40" s="255"/>
      <c r="Q40" s="255"/>
      <c r="R40" s="255"/>
      <c r="S40" s="255"/>
      <c r="T40" s="255"/>
      <c r="U40" s="255"/>
    </row>
    <row r="41" spans="2:22" s="7" customFormat="1" x14ac:dyDescent="0.25">
      <c r="C41" s="1658"/>
      <c r="D41" s="1658"/>
      <c r="E41" s="1658"/>
      <c r="F41" s="1658"/>
      <c r="G41" s="1658"/>
      <c r="H41" s="1658"/>
      <c r="I41" s="1658"/>
      <c r="J41" s="1658"/>
      <c r="K41" s="1658"/>
      <c r="L41" s="1658"/>
      <c r="M41" s="1658"/>
      <c r="N41" s="255"/>
      <c r="O41" s="255"/>
      <c r="P41" s="255"/>
      <c r="Q41" s="255"/>
      <c r="R41" s="255"/>
      <c r="S41" s="255"/>
      <c r="T41" s="255"/>
      <c r="U41" s="255"/>
    </row>
    <row r="42" spans="2:22" s="7" customFormat="1" x14ac:dyDescent="0.25">
      <c r="C42" s="1658"/>
      <c r="D42" s="1658"/>
      <c r="E42" s="1658"/>
      <c r="F42" s="1658"/>
      <c r="G42" s="1658"/>
      <c r="H42" s="1658"/>
      <c r="I42" s="1658"/>
      <c r="J42" s="1658"/>
      <c r="K42" s="1658"/>
      <c r="L42" s="1658"/>
      <c r="M42" s="1658"/>
      <c r="N42" s="255"/>
      <c r="O42" s="255"/>
      <c r="P42" s="255"/>
      <c r="Q42" s="255"/>
      <c r="R42" s="255"/>
      <c r="S42" s="255"/>
      <c r="T42" s="255"/>
      <c r="U42" s="255"/>
    </row>
    <row r="43" spans="2:22" s="7" customFormat="1" x14ac:dyDescent="0.25">
      <c r="C43" s="1658"/>
      <c r="D43" s="1658"/>
      <c r="E43" s="1658"/>
      <c r="F43" s="1658"/>
      <c r="G43" s="1658"/>
      <c r="H43" s="1658"/>
      <c r="I43" s="1658"/>
      <c r="J43" s="1658"/>
      <c r="K43" s="1658"/>
      <c r="L43" s="1658"/>
      <c r="M43" s="1658"/>
      <c r="N43" s="255"/>
      <c r="O43" s="255"/>
      <c r="P43" s="255"/>
      <c r="Q43" s="255"/>
      <c r="R43" s="255"/>
      <c r="S43" s="255"/>
      <c r="T43" s="255"/>
      <c r="U43" s="255"/>
    </row>
    <row r="44" spans="2:22" s="7" customFormat="1" x14ac:dyDescent="0.25">
      <c r="C44" s="1658"/>
      <c r="D44" s="1658"/>
      <c r="E44" s="1658"/>
      <c r="F44" s="1658"/>
      <c r="G44" s="1658"/>
      <c r="H44" s="1658"/>
      <c r="I44" s="1658"/>
      <c r="J44" s="1658"/>
      <c r="K44" s="1658"/>
      <c r="L44" s="1658"/>
      <c r="M44" s="1658"/>
      <c r="N44" s="255"/>
      <c r="O44" s="255"/>
      <c r="P44" s="255"/>
      <c r="Q44" s="255"/>
      <c r="R44" s="255"/>
      <c r="S44" s="255"/>
      <c r="T44" s="255"/>
      <c r="U44" s="255"/>
    </row>
    <row r="45" spans="2:22" s="7" customFormat="1" x14ac:dyDescent="0.25">
      <c r="C45" s="1658"/>
      <c r="D45" s="1658"/>
      <c r="E45" s="1658"/>
      <c r="F45" s="1658"/>
      <c r="G45" s="1658"/>
      <c r="H45" s="1658"/>
      <c r="I45" s="1658"/>
      <c r="J45" s="1658"/>
      <c r="K45" s="1658"/>
      <c r="L45" s="1658"/>
      <c r="M45" s="1658"/>
      <c r="N45" s="255"/>
      <c r="O45" s="255"/>
      <c r="P45" s="255"/>
      <c r="Q45" s="255"/>
      <c r="R45" s="255"/>
      <c r="S45" s="255"/>
      <c r="T45" s="255"/>
      <c r="U45" s="255"/>
    </row>
    <row r="46" spans="2:22" s="7" customFormat="1" x14ac:dyDescent="0.25">
      <c r="D46" s="17"/>
      <c r="E46" s="17"/>
      <c r="F46" s="17"/>
      <c r="G46" s="17"/>
      <c r="H46" s="53"/>
      <c r="I46" s="54"/>
      <c r="K46" s="255"/>
      <c r="L46" s="255"/>
      <c r="M46" s="255"/>
      <c r="N46" s="255"/>
      <c r="O46" s="255"/>
      <c r="P46" s="255"/>
      <c r="Q46" s="255"/>
      <c r="R46" s="255"/>
      <c r="S46" s="255"/>
      <c r="T46" s="255"/>
      <c r="U46" s="255"/>
    </row>
    <row r="47" spans="2:22" s="7" customFormat="1" x14ac:dyDescent="0.25">
      <c r="D47" s="17"/>
      <c r="E47" s="17"/>
      <c r="F47" s="17"/>
      <c r="G47" s="17"/>
      <c r="H47" s="53"/>
      <c r="I47" s="54"/>
    </row>
    <row r="48" spans="2:22" s="7" customFormat="1" x14ac:dyDescent="0.25">
      <c r="D48" s="17"/>
      <c r="E48" s="17"/>
      <c r="F48" s="17"/>
      <c r="G48" s="17"/>
      <c r="H48" s="53"/>
      <c r="I48" s="54"/>
    </row>
    <row r="49" spans="1:26" s="7" customFormat="1" ht="15.75" thickBot="1" x14ac:dyDescent="0.3">
      <c r="B49" s="13"/>
      <c r="C49" s="13"/>
      <c r="D49" s="238"/>
      <c r="E49" s="238"/>
      <c r="F49" s="238"/>
      <c r="G49" s="238"/>
      <c r="H49" s="238"/>
      <c r="I49" s="238"/>
      <c r="J49" s="13"/>
      <c r="K49" s="13"/>
      <c r="L49" s="13"/>
      <c r="M49" s="13"/>
      <c r="N49" s="13"/>
      <c r="O49" s="13"/>
      <c r="P49" s="13"/>
      <c r="Q49" s="13"/>
      <c r="R49" s="13"/>
      <c r="S49" s="13"/>
      <c r="T49" s="13"/>
      <c r="U49" s="13"/>
      <c r="V49" s="13"/>
      <c r="W49" s="13"/>
      <c r="X49" s="13"/>
      <c r="Y49" s="13"/>
      <c r="Z49" s="13"/>
    </row>
    <row r="50" spans="1:26" ht="21.75" thickTop="1" x14ac:dyDescent="0.35">
      <c r="A50" s="7"/>
      <c r="C50" s="139" t="s">
        <v>124</v>
      </c>
    </row>
    <row r="52" spans="1:26" x14ac:dyDescent="0.25">
      <c r="B52" s="1564" t="s">
        <v>159</v>
      </c>
      <c r="C52" s="150" t="s">
        <v>4</v>
      </c>
      <c r="D52" s="264" t="s">
        <v>129</v>
      </c>
      <c r="E52" s="264"/>
      <c r="F52" s="264"/>
      <c r="G52" s="264"/>
      <c r="H52" s="259"/>
    </row>
    <row r="53" spans="1:26" x14ac:dyDescent="0.25">
      <c r="B53" s="1565"/>
      <c r="C53" s="17" t="s">
        <v>130</v>
      </c>
      <c r="D53" s="17" t="s">
        <v>3</v>
      </c>
      <c r="E53" s="17"/>
      <c r="F53" s="17"/>
      <c r="G53" s="17"/>
      <c r="H53" s="239"/>
      <c r="M53" s="7"/>
      <c r="N53" s="7"/>
      <c r="O53" s="7"/>
      <c r="P53" s="7"/>
      <c r="Q53" s="7"/>
      <c r="R53" s="7"/>
      <c r="S53" s="7"/>
    </row>
    <row r="54" spans="1:26" x14ac:dyDescent="0.25">
      <c r="B54" s="1566"/>
      <c r="C54" s="257" t="s">
        <v>131</v>
      </c>
      <c r="D54" s="257" t="s">
        <v>2</v>
      </c>
      <c r="E54" s="257"/>
      <c r="F54" s="257"/>
      <c r="G54" s="257"/>
      <c r="H54" s="260"/>
      <c r="M54" s="18"/>
      <c r="N54" s="7"/>
      <c r="O54" s="7"/>
      <c r="P54" s="7"/>
      <c r="Q54" s="7"/>
      <c r="R54" s="7"/>
      <c r="S54" s="7"/>
    </row>
    <row r="55" spans="1:26" x14ac:dyDescent="0.25">
      <c r="B55" s="256"/>
      <c r="C55" s="33"/>
      <c r="M55" s="7"/>
      <c r="N55" s="7"/>
      <c r="O55" s="7"/>
      <c r="P55" s="7"/>
      <c r="Q55" s="7"/>
      <c r="R55" s="7"/>
      <c r="S55" s="7"/>
    </row>
    <row r="56" spans="1:26" x14ac:dyDescent="0.25">
      <c r="B56" s="1564" t="s">
        <v>163</v>
      </c>
      <c r="C56" s="150" t="s">
        <v>4</v>
      </c>
      <c r="D56" s="264" t="s">
        <v>140</v>
      </c>
      <c r="E56" s="264"/>
      <c r="F56" s="264"/>
      <c r="G56" s="264"/>
      <c r="H56" s="259"/>
      <c r="M56" s="18"/>
    </row>
    <row r="57" spans="1:26" x14ac:dyDescent="0.25">
      <c r="B57" s="1565"/>
      <c r="C57" s="17" t="s">
        <v>130</v>
      </c>
      <c r="D57" s="17" t="s">
        <v>3</v>
      </c>
      <c r="E57" s="17"/>
      <c r="F57" s="17"/>
      <c r="G57" s="17"/>
      <c r="H57" s="239"/>
      <c r="M57" s="18"/>
    </row>
    <row r="58" spans="1:26" x14ac:dyDescent="0.25">
      <c r="B58" s="1566"/>
      <c r="C58" s="257" t="s">
        <v>131</v>
      </c>
      <c r="D58" s="257" t="s">
        <v>2</v>
      </c>
      <c r="E58" s="257"/>
      <c r="F58" s="257"/>
      <c r="G58" s="257"/>
      <c r="H58" s="260"/>
      <c r="M58" s="18"/>
    </row>
    <row r="59" spans="1:26" ht="15.75" thickBot="1" x14ac:dyDescent="0.3">
      <c r="B59" s="255"/>
      <c r="C59" s="7"/>
      <c r="D59" s="253"/>
      <c r="E59" s="7"/>
      <c r="F59" s="17"/>
      <c r="G59" s="17"/>
      <c r="H59" s="17"/>
      <c r="M59" s="18"/>
    </row>
    <row r="60" spans="1:26" x14ac:dyDescent="0.25">
      <c r="B60" s="1567" t="s">
        <v>148</v>
      </c>
      <c r="C60" s="10" t="s">
        <v>160</v>
      </c>
      <c r="D60" s="274" t="s">
        <v>164</v>
      </c>
      <c r="E60" s="251" t="s">
        <v>162</v>
      </c>
      <c r="F60" s="251"/>
      <c r="G60" s="251"/>
      <c r="H60" s="249"/>
      <c r="M60" s="18"/>
    </row>
    <row r="61" spans="1:26" x14ac:dyDescent="0.25">
      <c r="B61" s="1568"/>
      <c r="C61" s="17" t="s">
        <v>135</v>
      </c>
      <c r="D61" s="254">
        <f>COUNTA(D67:G67)</f>
        <v>4</v>
      </c>
      <c r="E61" s="17" t="s">
        <v>136</v>
      </c>
      <c r="F61" s="17"/>
      <c r="G61" s="17"/>
      <c r="H61" s="195"/>
      <c r="M61" s="18"/>
    </row>
    <row r="62" spans="1:26" x14ac:dyDescent="0.25">
      <c r="B62" s="1568"/>
      <c r="C62" s="17" t="s">
        <v>5</v>
      </c>
      <c r="D62" s="253">
        <v>8</v>
      </c>
      <c r="E62" s="17" t="s">
        <v>139</v>
      </c>
      <c r="F62" s="17"/>
      <c r="G62" s="17"/>
      <c r="H62" s="195"/>
      <c r="M62" s="18"/>
    </row>
    <row r="63" spans="1:26" ht="15.75" thickBot="1" x14ac:dyDescent="0.3">
      <c r="B63" s="1569"/>
      <c r="C63" s="166" t="s">
        <v>137</v>
      </c>
      <c r="D63" s="275">
        <f>L68</f>
        <v>11.090364888959126</v>
      </c>
      <c r="E63" s="166" t="s">
        <v>138</v>
      </c>
      <c r="F63" s="252"/>
      <c r="G63" s="252"/>
      <c r="H63" s="250"/>
      <c r="M63" s="18"/>
    </row>
    <row r="64" spans="1:26" x14ac:dyDescent="0.25">
      <c r="M64" s="18"/>
    </row>
    <row r="66" spans="1:45" ht="27.75" customHeight="1" x14ac:dyDescent="0.25">
      <c r="B66" s="7"/>
      <c r="D66" s="36" t="s">
        <v>12</v>
      </c>
      <c r="E66" s="37"/>
      <c r="F66" s="37"/>
      <c r="G66" s="38"/>
      <c r="H66" s="14" t="s">
        <v>13</v>
      </c>
      <c r="I66" s="15"/>
      <c r="J66" s="15"/>
      <c r="K66" s="16"/>
      <c r="L66" s="14" t="s">
        <v>36</v>
      </c>
      <c r="M66" s="16" t="s">
        <v>35</v>
      </c>
      <c r="N66" s="20"/>
      <c r="O66" s="20"/>
      <c r="P66" s="20"/>
      <c r="Q66" s="20"/>
      <c r="R66" s="20"/>
      <c r="S66" s="20"/>
      <c r="U66" s="20"/>
      <c r="V66" s="20"/>
      <c r="W66" s="20"/>
      <c r="X66" s="30"/>
      <c r="Y66" s="31"/>
      <c r="Z66" s="7"/>
      <c r="AA66" s="7"/>
      <c r="AB66" s="7"/>
      <c r="AC66" s="31"/>
      <c r="AD66" s="7"/>
      <c r="AE66" s="7"/>
      <c r="AF66" s="7"/>
      <c r="AG66" s="7"/>
      <c r="AH66" s="7"/>
      <c r="AI66" s="7"/>
      <c r="AJ66" s="7"/>
      <c r="AK66" s="7"/>
      <c r="AL66" s="7"/>
      <c r="AM66" s="7"/>
      <c r="AN66" s="7"/>
      <c r="AO66" s="7"/>
      <c r="AP66" s="7"/>
      <c r="AQ66" s="7"/>
      <c r="AR66" s="7"/>
      <c r="AS66" s="7"/>
    </row>
    <row r="67" spans="1:45" ht="15.75" thickBot="1" x14ac:dyDescent="0.3">
      <c r="B67" s="32"/>
      <c r="C67" s="115" t="s">
        <v>34</v>
      </c>
      <c r="D67" s="172" t="s">
        <v>6</v>
      </c>
      <c r="E67" s="176" t="s">
        <v>7</v>
      </c>
      <c r="F67" s="173" t="s">
        <v>8</v>
      </c>
      <c r="G67" s="177" t="s">
        <v>9</v>
      </c>
      <c r="H67" s="367" t="s">
        <v>6</v>
      </c>
      <c r="I67" s="368" t="s">
        <v>7</v>
      </c>
      <c r="J67" s="369" t="s">
        <v>8</v>
      </c>
      <c r="K67" s="370" t="s">
        <v>9</v>
      </c>
      <c r="L67" s="42">
        <v>0</v>
      </c>
      <c r="M67" s="35"/>
      <c r="N67" s="7"/>
      <c r="O67" s="7"/>
      <c r="P67" s="7"/>
      <c r="Q67" s="7"/>
      <c r="R67" s="7"/>
      <c r="S67" s="7"/>
      <c r="U67" s="7"/>
      <c r="V67" s="7"/>
      <c r="W67" s="7"/>
      <c r="X67" s="7"/>
      <c r="Y67" s="7"/>
      <c r="Z67" s="7"/>
      <c r="AA67" s="7"/>
      <c r="AB67" s="7"/>
      <c r="AC67" s="7"/>
      <c r="AD67" s="7"/>
      <c r="AE67" s="7"/>
      <c r="AF67" s="7"/>
      <c r="AG67" s="7"/>
      <c r="AH67" s="7"/>
      <c r="AI67" s="7"/>
      <c r="AJ67" s="7"/>
      <c r="AK67" s="7"/>
      <c r="AL67" s="7"/>
      <c r="AM67" s="7"/>
      <c r="AN67" s="7"/>
      <c r="AO67" s="7"/>
      <c r="AP67" s="18"/>
      <c r="AQ67" s="18"/>
      <c r="AR67" s="18"/>
      <c r="AS67" s="18"/>
    </row>
    <row r="68" spans="1:45" ht="15.75" thickTop="1" x14ac:dyDescent="0.25">
      <c r="B68" s="7"/>
      <c r="C68">
        <v>1</v>
      </c>
      <c r="D68" s="350">
        <v>1.0000000000000001E-5</v>
      </c>
      <c r="E68" s="351">
        <v>1.0000000000000001E-5</v>
      </c>
      <c r="F68" s="352">
        <v>1.0000000000000001E-5</v>
      </c>
      <c r="G68" s="353">
        <v>1.0000000000000001E-5</v>
      </c>
      <c r="H68" s="354">
        <f t="shared" ref="H68:K74" si="3">EXP(D68/$D$62)/(EXP($D68/$D$62)+EXP($E68/$D$62)+EXP($F68/$D$62)+EXP($G68/$D$62))</f>
        <v>0.25</v>
      </c>
      <c r="I68" s="355">
        <f t="shared" si="3"/>
        <v>0.25</v>
      </c>
      <c r="J68" s="356">
        <f t="shared" si="3"/>
        <v>0.25</v>
      </c>
      <c r="K68" s="357">
        <f t="shared" si="3"/>
        <v>0.25</v>
      </c>
      <c r="L68" s="262">
        <f>$D$62*LN(EXP($D68/$D$62)+EXP($E68/$D$62)+EXP($F68/$D$62)+EXP($G68/$D$62))</f>
        <v>11.090364888959126</v>
      </c>
      <c r="M68" s="406">
        <f>(L68-0)</f>
        <v>11.090364888959126</v>
      </c>
      <c r="N68" s="7"/>
      <c r="O68" s="7"/>
      <c r="P68" s="7"/>
      <c r="Q68" s="7"/>
      <c r="R68" s="7"/>
      <c r="S68" s="7"/>
      <c r="U68" s="7"/>
      <c r="V68" s="7"/>
      <c r="W68" s="7"/>
      <c r="X68" s="7"/>
      <c r="Y68" s="8"/>
      <c r="Z68" s="8"/>
      <c r="AA68" s="8"/>
      <c r="AB68" s="8"/>
      <c r="AC68" s="7"/>
      <c r="AD68" s="7"/>
      <c r="AE68" s="7"/>
      <c r="AF68" s="7"/>
      <c r="AG68" s="7"/>
      <c r="AH68" s="7"/>
      <c r="AI68" s="7"/>
      <c r="AJ68" s="7"/>
      <c r="AK68" s="7"/>
      <c r="AL68" s="7"/>
      <c r="AM68" s="7"/>
      <c r="AN68" s="7"/>
      <c r="AO68" s="7"/>
      <c r="AP68" s="19"/>
      <c r="AQ68" s="19"/>
      <c r="AR68" s="19"/>
      <c r="AS68" s="19"/>
    </row>
    <row r="69" spans="1:45" ht="15.75" thickBot="1" x14ac:dyDescent="0.3">
      <c r="A69" s="7"/>
      <c r="B69" s="7"/>
      <c r="C69" s="7">
        <v>2</v>
      </c>
      <c r="D69" s="358">
        <v>1</v>
      </c>
      <c r="E69" s="359">
        <v>1</v>
      </c>
      <c r="F69" s="360">
        <v>1</v>
      </c>
      <c r="G69" s="361">
        <v>1</v>
      </c>
      <c r="H69" s="362">
        <f t="shared" si="3"/>
        <v>0.25</v>
      </c>
      <c r="I69" s="363">
        <f t="shared" si="3"/>
        <v>0.25</v>
      </c>
      <c r="J69" s="364">
        <f t="shared" si="3"/>
        <v>0.25</v>
      </c>
      <c r="K69" s="365">
        <f t="shared" si="3"/>
        <v>0.25</v>
      </c>
      <c r="L69" s="285">
        <f t="shared" ref="L69:L75" si="4">$D$62*LN(EXP($D69/$D$62)+EXP($E69/$D$62)+EXP($F69/$D$62)+EXP($G69/$D$62))</f>
        <v>12.090354888959125</v>
      </c>
      <c r="M69" s="407">
        <f t="shared" ref="M69:M74" si="5">(L69-L68)</f>
        <v>0.9999899999999986</v>
      </c>
      <c r="N69" s="7"/>
      <c r="O69" s="1275" t="s">
        <v>114</v>
      </c>
      <c r="P69" s="1276"/>
      <c r="Q69" s="1276"/>
      <c r="R69" s="1276"/>
      <c r="S69" s="1276"/>
      <c r="T69" s="1276"/>
      <c r="U69" s="1276"/>
      <c r="V69" s="1277"/>
      <c r="W69" s="7"/>
      <c r="X69" s="7"/>
      <c r="Y69" s="29"/>
      <c r="Z69" s="29"/>
      <c r="AA69" s="29"/>
      <c r="AB69" s="29"/>
      <c r="AC69" s="7"/>
      <c r="AD69" s="7"/>
      <c r="AE69" s="7"/>
      <c r="AF69" s="7"/>
      <c r="AG69" s="7"/>
      <c r="AH69" s="7"/>
      <c r="AI69" s="7"/>
      <c r="AJ69" s="7"/>
      <c r="AK69" s="8"/>
      <c r="AL69" s="8"/>
      <c r="AM69" s="8"/>
      <c r="AN69" s="8"/>
      <c r="AO69" s="7"/>
      <c r="AP69" s="19"/>
      <c r="AQ69" s="19"/>
      <c r="AR69" s="19"/>
      <c r="AS69" s="19"/>
    </row>
    <row r="70" spans="1:45" ht="15.75" thickBot="1" x14ac:dyDescent="0.3">
      <c r="A70" s="17"/>
      <c r="B70" s="17"/>
      <c r="C70" s="17">
        <v>3</v>
      </c>
      <c r="D70" s="366">
        <f>O70</f>
        <v>4.2092725428500977</v>
      </c>
      <c r="E70" s="359">
        <v>0.2</v>
      </c>
      <c r="F70" s="360">
        <v>0.8</v>
      </c>
      <c r="G70" s="361">
        <v>0.1</v>
      </c>
      <c r="H70" s="362">
        <f t="shared" si="3"/>
        <v>0.35</v>
      </c>
      <c r="I70" s="363">
        <f t="shared" si="3"/>
        <v>0.21203981987370624</v>
      </c>
      <c r="J70" s="364">
        <f t="shared" si="3"/>
        <v>0.22855436119830008</v>
      </c>
      <c r="K70" s="365">
        <f t="shared" si="3"/>
        <v>0.20940581892799362</v>
      </c>
      <c r="L70" s="285">
        <f>$D$62*LN(EXP($D70/$D$62)+EXP($E70/$D$62)+EXP($F70/$D$62)+EXP($G70/$D$62))</f>
        <v>12.60784953883952</v>
      </c>
      <c r="M70" s="407">
        <f t="shared" si="5"/>
        <v>0.51749464988039584</v>
      </c>
      <c r="N70" s="7"/>
      <c r="O70" s="1322">
        <f>D62*LN(O71/(1-O71))+D62*LN((SUM((EXP(E70/D62)+EXP(F70/D62)+EXP(G70/D62)))))</f>
        <v>4.2092725428500977</v>
      </c>
      <c r="P70" s="1279"/>
      <c r="Q70" s="1279"/>
      <c r="R70" s="1279"/>
      <c r="S70" s="1279"/>
      <c r="T70" s="1279"/>
      <c r="U70" s="1279"/>
      <c r="V70" s="1280"/>
      <c r="W70" s="7"/>
      <c r="X70" s="7"/>
      <c r="Y70" s="29"/>
      <c r="Z70" s="29"/>
      <c r="AA70" s="29"/>
      <c r="AB70" s="29"/>
      <c r="AC70" s="7"/>
      <c r="AD70" s="7"/>
      <c r="AE70" s="7"/>
      <c r="AF70" s="7"/>
      <c r="AG70" s="7"/>
      <c r="AH70" s="7"/>
      <c r="AI70" s="7"/>
      <c r="AJ70" s="7"/>
      <c r="AK70" s="8"/>
      <c r="AL70" s="8"/>
      <c r="AM70" s="8"/>
      <c r="AN70" s="8"/>
      <c r="AO70" s="7"/>
      <c r="AP70" s="19"/>
      <c r="AQ70" s="19"/>
      <c r="AR70" s="19"/>
      <c r="AS70" s="19"/>
    </row>
    <row r="71" spans="1:45" x14ac:dyDescent="0.25">
      <c r="A71" s="7"/>
      <c r="B71" s="7"/>
      <c r="C71" s="7">
        <v>4</v>
      </c>
      <c r="D71" s="404">
        <v>4.2092725428500977</v>
      </c>
      <c r="E71" s="405">
        <v>0.477679447154433</v>
      </c>
      <c r="F71" s="360">
        <v>1.151999999999999</v>
      </c>
      <c r="G71" s="361">
        <v>0.1</v>
      </c>
      <c r="H71" s="362">
        <f t="shared" si="3"/>
        <v>0.34388908334498003</v>
      </c>
      <c r="I71" s="363">
        <f t="shared" si="3"/>
        <v>0.21569600589575436</v>
      </c>
      <c r="J71" s="364">
        <f t="shared" si="3"/>
        <v>0.23466526756425818</v>
      </c>
      <c r="K71" s="365">
        <f t="shared" si="3"/>
        <v>0.20574964319500744</v>
      </c>
      <c r="L71" s="285">
        <f t="shared" si="4"/>
        <v>12.748761388752838</v>
      </c>
      <c r="M71" s="407">
        <f t="shared" si="5"/>
        <v>0.14091184991331751</v>
      </c>
      <c r="N71" s="7"/>
      <c r="O71" s="1323">
        <v>0.35</v>
      </c>
      <c r="P71" s="1287" t="b">
        <f>O71=H70</f>
        <v>1</v>
      </c>
      <c r="Q71" s="1287"/>
      <c r="R71" s="1287"/>
      <c r="S71" s="1287"/>
      <c r="T71" s="1287"/>
      <c r="U71" s="1287"/>
      <c r="V71" s="1321"/>
      <c r="W71" s="7"/>
      <c r="X71" s="7"/>
      <c r="Y71" s="29"/>
      <c r="Z71" s="29"/>
      <c r="AA71" s="29"/>
      <c r="AB71" s="29"/>
      <c r="AC71" s="7"/>
      <c r="AD71" s="7"/>
      <c r="AE71" s="29"/>
      <c r="AF71" s="29"/>
      <c r="AG71" s="29"/>
      <c r="AH71" s="29"/>
      <c r="AI71" s="7"/>
      <c r="AJ71" s="7"/>
      <c r="AK71" s="8"/>
      <c r="AL71" s="8"/>
      <c r="AM71" s="8"/>
      <c r="AN71" s="8"/>
      <c r="AO71" s="7"/>
      <c r="AP71" s="19"/>
      <c r="AQ71" s="19"/>
      <c r="AR71" s="19"/>
      <c r="AS71" s="19"/>
    </row>
    <row r="72" spans="1:45" x14ac:dyDescent="0.25">
      <c r="A72" s="7"/>
      <c r="B72" s="7"/>
      <c r="C72" s="7">
        <v>5</v>
      </c>
      <c r="D72" s="358">
        <v>7</v>
      </c>
      <c r="E72" s="359">
        <v>4</v>
      </c>
      <c r="F72" s="360">
        <v>4.24</v>
      </c>
      <c r="G72" s="361">
        <v>3.1880000000000002</v>
      </c>
      <c r="H72" s="362">
        <f t="shared" si="3"/>
        <v>0.33151414279912189</v>
      </c>
      <c r="I72" s="363">
        <f t="shared" si="3"/>
        <v>0.22784611611341585</v>
      </c>
      <c r="J72" s="364">
        <f t="shared" si="3"/>
        <v>0.23478506339276881</v>
      </c>
      <c r="K72" s="365">
        <f t="shared" si="3"/>
        <v>0.20585467769469348</v>
      </c>
      <c r="L72" s="285">
        <f t="shared" si="4"/>
        <v>15.832678457777227</v>
      </c>
      <c r="M72" s="407">
        <f t="shared" si="5"/>
        <v>3.0839170690243893</v>
      </c>
      <c r="N72" s="7"/>
      <c r="O72" s="7"/>
      <c r="P72" s="7"/>
      <c r="Q72" s="7"/>
      <c r="R72" s="7"/>
      <c r="S72" s="7"/>
      <c r="U72" s="7"/>
      <c r="V72" s="7"/>
      <c r="W72" s="7"/>
      <c r="X72" s="7"/>
      <c r="Y72" s="29"/>
      <c r="AA72" s="29"/>
      <c r="AB72" s="29"/>
      <c r="AC72" s="7"/>
      <c r="AD72" s="7"/>
      <c r="AE72" s="29"/>
      <c r="AG72" s="29"/>
      <c r="AH72" s="29"/>
      <c r="AI72" s="7"/>
      <c r="AJ72" s="7"/>
      <c r="AK72" s="8"/>
      <c r="AL72" s="8"/>
      <c r="AM72" s="8"/>
      <c r="AN72" s="8"/>
      <c r="AO72" s="7"/>
      <c r="AP72" s="19"/>
      <c r="AQ72" s="19"/>
      <c r="AR72" s="19"/>
      <c r="AS72" s="19"/>
    </row>
    <row r="73" spans="1:45" x14ac:dyDescent="0.25">
      <c r="A73" s="7"/>
      <c r="B73" s="7"/>
      <c r="C73" s="7">
        <v>6</v>
      </c>
      <c r="D73" s="358">
        <v>11</v>
      </c>
      <c r="E73" s="359">
        <v>5</v>
      </c>
      <c r="F73" s="360">
        <v>2</v>
      </c>
      <c r="G73" s="361">
        <v>3.4</v>
      </c>
      <c r="H73" s="362">
        <f t="shared" si="3"/>
        <v>0.45792577025660447</v>
      </c>
      <c r="I73" s="363">
        <f t="shared" si="3"/>
        <v>0.21630881750738612</v>
      </c>
      <c r="J73" s="364">
        <f t="shared" si="3"/>
        <v>0.14866673118077942</v>
      </c>
      <c r="K73" s="365">
        <f t="shared" si="3"/>
        <v>0.17709868105523</v>
      </c>
      <c r="L73" s="285">
        <f t="shared" si="4"/>
        <v>17.248385453430764</v>
      </c>
      <c r="M73" s="407">
        <f t="shared" si="5"/>
        <v>1.4157069956535366</v>
      </c>
      <c r="N73" s="7"/>
      <c r="O73" s="7"/>
      <c r="P73" s="7"/>
      <c r="Q73" s="7"/>
      <c r="R73" s="7"/>
      <c r="S73" s="7"/>
      <c r="U73" s="7"/>
      <c r="V73" s="7"/>
      <c r="W73" s="7"/>
      <c r="X73" s="7"/>
      <c r="Z73" s="29"/>
      <c r="AA73" s="29"/>
      <c r="AB73" s="29"/>
      <c r="AC73" s="7"/>
      <c r="AD73" s="7"/>
      <c r="AF73" s="29"/>
      <c r="AG73" s="29"/>
      <c r="AH73" s="29"/>
      <c r="AI73" s="7"/>
      <c r="AJ73" s="7"/>
      <c r="AK73" s="8"/>
      <c r="AL73" s="8"/>
      <c r="AM73" s="8"/>
      <c r="AN73" s="8"/>
      <c r="AO73" s="7"/>
      <c r="AP73" s="19"/>
      <c r="AQ73" s="19"/>
      <c r="AR73" s="19"/>
      <c r="AS73" s="19"/>
    </row>
    <row r="74" spans="1:45" ht="15.75" thickBot="1" x14ac:dyDescent="0.3">
      <c r="A74" s="7"/>
      <c r="B74" s="7"/>
      <c r="C74" s="7">
        <v>7</v>
      </c>
      <c r="D74" s="172">
        <v>10</v>
      </c>
      <c r="E74" s="176">
        <v>0</v>
      </c>
      <c r="F74" s="173">
        <v>0</v>
      </c>
      <c r="G74" s="177">
        <v>0</v>
      </c>
      <c r="H74" s="367">
        <f t="shared" si="3"/>
        <v>0.53777481102890734</v>
      </c>
      <c r="I74" s="368">
        <f t="shared" si="3"/>
        <v>0.15407506299036422</v>
      </c>
      <c r="J74" s="369">
        <f t="shared" si="3"/>
        <v>0.15407506299036422</v>
      </c>
      <c r="K74" s="370">
        <f t="shared" si="3"/>
        <v>0.15407506299036422</v>
      </c>
      <c r="L74" s="286">
        <f t="shared" si="4"/>
        <v>14.962522986437438</v>
      </c>
      <c r="M74" s="408">
        <f t="shared" si="5"/>
        <v>-2.2858624669933256</v>
      </c>
      <c r="N74" s="7"/>
      <c r="O74" s="7"/>
      <c r="P74" s="7"/>
      <c r="Q74" s="7"/>
      <c r="R74" s="7"/>
      <c r="S74" s="7"/>
      <c r="U74" s="7"/>
      <c r="V74" s="7"/>
      <c r="W74" s="7"/>
      <c r="X74" s="7"/>
      <c r="Y74" s="29"/>
      <c r="Z74" s="29"/>
      <c r="AA74" s="1174"/>
      <c r="AB74" s="1174"/>
      <c r="AC74" s="309"/>
      <c r="AD74" s="7"/>
      <c r="AE74" s="29"/>
      <c r="AF74" s="29"/>
      <c r="AG74" s="1174"/>
      <c r="AH74" s="1174"/>
      <c r="AI74" s="309"/>
      <c r="AJ74" s="7"/>
      <c r="AK74" s="29"/>
      <c r="AL74" s="8"/>
      <c r="AM74" s="8"/>
      <c r="AN74" s="8"/>
      <c r="AO74" s="7"/>
      <c r="AP74" s="19"/>
      <c r="AQ74" s="19"/>
      <c r="AR74" s="19"/>
      <c r="AS74" s="19"/>
    </row>
    <row r="75" spans="1:45" ht="16.5" thickTop="1" thickBot="1" x14ac:dyDescent="0.3">
      <c r="A75" s="7"/>
      <c r="B75" s="7"/>
      <c r="C75" s="7">
        <v>8</v>
      </c>
      <c r="D75" s="371">
        <f>D74</f>
        <v>10</v>
      </c>
      <c r="E75" s="372">
        <f>E74</f>
        <v>0</v>
      </c>
      <c r="F75" s="373">
        <f>F74</f>
        <v>0</v>
      </c>
      <c r="G75" s="374">
        <f>G74</f>
        <v>0</v>
      </c>
      <c r="H75" s="555">
        <v>1</v>
      </c>
      <c r="I75" s="556">
        <v>0</v>
      </c>
      <c r="J75" s="556">
        <v>0</v>
      </c>
      <c r="K75" s="557">
        <v>0</v>
      </c>
      <c r="L75" s="261">
        <f t="shared" si="4"/>
        <v>14.962522986437438</v>
      </c>
      <c r="M75" s="8" t="s">
        <v>43</v>
      </c>
      <c r="O75" s="8"/>
      <c r="P75" s="8"/>
      <c r="Q75" s="8"/>
      <c r="R75" s="8"/>
      <c r="S75" s="8"/>
      <c r="U75" s="8"/>
      <c r="V75" s="8"/>
      <c r="W75" s="8"/>
      <c r="X75" s="8"/>
      <c r="Y75" s="8"/>
      <c r="Z75" s="8"/>
      <c r="AA75" s="1174"/>
      <c r="AB75" s="1174"/>
      <c r="AC75" s="309"/>
      <c r="AD75" s="8"/>
      <c r="AE75" s="8"/>
      <c r="AF75" s="8"/>
      <c r="AG75" s="1174"/>
      <c r="AH75" s="1174"/>
      <c r="AI75" s="309"/>
      <c r="AJ75" s="7"/>
      <c r="AK75" s="7"/>
      <c r="AL75" s="7"/>
      <c r="AM75" s="7"/>
      <c r="AN75" s="7"/>
      <c r="AO75" s="7"/>
      <c r="AP75" s="7"/>
      <c r="AQ75" s="7"/>
      <c r="AR75" s="7"/>
      <c r="AS75" s="7"/>
    </row>
    <row r="76" spans="1:45" ht="15.75" thickBot="1" x14ac:dyDescent="0.3">
      <c r="A76" s="7"/>
      <c r="B76" s="7"/>
      <c r="C76" s="7"/>
      <c r="L76" s="263">
        <f>SUMPRODUCT(D75:G75,H75:K75)</f>
        <v>10</v>
      </c>
      <c r="M76" t="s">
        <v>109</v>
      </c>
      <c r="AA76" s="169"/>
      <c r="AB76" s="169"/>
      <c r="AG76" s="169"/>
      <c r="AH76" s="169"/>
    </row>
    <row r="77" spans="1:45" ht="15.75" thickBot="1" x14ac:dyDescent="0.3">
      <c r="A77" s="7"/>
      <c r="B77" s="7"/>
      <c r="C77" s="7"/>
      <c r="L77" s="263">
        <f>L75-L76</f>
        <v>4.9625229864374383</v>
      </c>
      <c r="M77" s="7" t="s">
        <v>788</v>
      </c>
    </row>
    <row r="78" spans="1:45" x14ac:dyDescent="0.25">
      <c r="A78" s="7"/>
      <c r="B78" s="7"/>
      <c r="C78" s="7"/>
      <c r="M78" s="194"/>
      <c r="N78" s="7"/>
    </row>
    <row r="79" spans="1:45" x14ac:dyDescent="0.25">
      <c r="A79" s="7"/>
      <c r="B79" s="7"/>
      <c r="C79" s="7"/>
      <c r="M79" s="194"/>
      <c r="N79" s="7"/>
    </row>
    <row r="80" spans="1:45" ht="15" customHeight="1" x14ac:dyDescent="0.25">
      <c r="A80" s="7"/>
      <c r="B80" s="7"/>
      <c r="C80" s="7"/>
      <c r="D80" s="1658" t="s">
        <v>118</v>
      </c>
      <c r="E80" s="1658"/>
      <c r="F80" s="1658"/>
      <c r="G80" s="1658"/>
      <c r="H80" s="1658"/>
      <c r="I80" s="1658"/>
      <c r="J80" s="1658"/>
      <c r="K80" s="1658"/>
      <c r="L80" s="1658"/>
      <c r="M80" s="1658"/>
      <c r="N80" s="255"/>
      <c r="O80" s="255"/>
      <c r="P80" s="255"/>
      <c r="Q80" s="255"/>
      <c r="R80" s="255"/>
      <c r="S80" s="255"/>
      <c r="T80" s="255"/>
      <c r="U80" s="255"/>
      <c r="Y80">
        <f>(G71-G70)*K70</f>
        <v>0</v>
      </c>
    </row>
    <row r="81" spans="1:24" x14ac:dyDescent="0.25">
      <c r="A81" s="7"/>
      <c r="B81" s="7"/>
      <c r="C81" s="7"/>
      <c r="D81" s="1658"/>
      <c r="E81" s="1658"/>
      <c r="F81" s="1658"/>
      <c r="G81" s="1658"/>
      <c r="H81" s="1658"/>
      <c r="I81" s="1658"/>
      <c r="J81" s="1658"/>
      <c r="K81" s="1658"/>
      <c r="L81" s="1658"/>
      <c r="M81" s="1658"/>
      <c r="N81" s="255"/>
      <c r="O81" s="255"/>
      <c r="P81" s="255"/>
      <c r="Q81" s="255"/>
      <c r="R81" s="255"/>
      <c r="S81" s="255"/>
      <c r="T81" s="255"/>
      <c r="U81" s="255"/>
      <c r="V81" s="255"/>
      <c r="W81" s="255"/>
    </row>
    <row r="82" spans="1:24" x14ac:dyDescent="0.25">
      <c r="A82" s="7"/>
      <c r="B82" s="7"/>
      <c r="C82" s="7"/>
      <c r="D82" s="1658"/>
      <c r="E82" s="1658"/>
      <c r="F82" s="1658"/>
      <c r="G82" s="1658"/>
      <c r="H82" s="1658"/>
      <c r="I82" s="1658"/>
      <c r="J82" s="1658"/>
      <c r="K82" s="1658"/>
      <c r="L82" s="1658"/>
      <c r="M82" s="1658"/>
      <c r="N82" s="255"/>
      <c r="O82" s="255"/>
      <c r="P82" s="255"/>
      <c r="Q82" s="255"/>
      <c r="R82" s="255"/>
      <c r="S82" s="255"/>
      <c r="T82" s="255"/>
      <c r="U82" s="255"/>
      <c r="V82" s="255"/>
      <c r="W82" s="255"/>
    </row>
    <row r="83" spans="1:24" x14ac:dyDescent="0.25">
      <c r="A83" s="7"/>
      <c r="B83" s="7"/>
      <c r="C83" s="7"/>
      <c r="D83" s="1658"/>
      <c r="E83" s="1658"/>
      <c r="F83" s="1658"/>
      <c r="G83" s="1658"/>
      <c r="H83" s="1658"/>
      <c r="I83" s="1658"/>
      <c r="J83" s="1658"/>
      <c r="K83" s="1658"/>
      <c r="L83" s="1658"/>
      <c r="M83" s="1658"/>
      <c r="N83" s="255"/>
      <c r="O83" s="255"/>
      <c r="P83" s="255"/>
      <c r="Q83" s="255"/>
      <c r="R83" s="255"/>
      <c r="S83" s="255"/>
      <c r="T83" s="255"/>
      <c r="U83" s="255"/>
      <c r="V83" s="255"/>
      <c r="W83" s="255"/>
    </row>
    <row r="84" spans="1:24" x14ac:dyDescent="0.25">
      <c r="A84" s="7"/>
      <c r="B84" s="7"/>
      <c r="C84" s="7"/>
      <c r="D84" s="1658"/>
      <c r="E84" s="1658"/>
      <c r="F84" s="1658"/>
      <c r="G84" s="1658"/>
      <c r="H84" s="1658"/>
      <c r="I84" s="1658"/>
      <c r="J84" s="1658"/>
      <c r="K84" s="1658"/>
      <c r="L84" s="1658"/>
      <c r="M84" s="1658"/>
      <c r="N84" s="255"/>
      <c r="O84" s="255"/>
      <c r="P84" s="255"/>
      <c r="Q84" s="255"/>
      <c r="R84" s="255"/>
      <c r="S84" s="255"/>
      <c r="T84" s="255"/>
      <c r="U84" s="255"/>
      <c r="V84" s="255"/>
      <c r="W84" s="255"/>
    </row>
    <row r="85" spans="1:24" x14ac:dyDescent="0.25">
      <c r="A85" s="7"/>
      <c r="B85" s="7"/>
      <c r="C85" s="7"/>
      <c r="D85" s="1658"/>
      <c r="E85" s="1658"/>
      <c r="F85" s="1658"/>
      <c r="G85" s="1658"/>
      <c r="H85" s="1658"/>
      <c r="I85" s="1658"/>
      <c r="J85" s="1658"/>
      <c r="K85" s="1658"/>
      <c r="L85" s="1658"/>
      <c r="M85" s="1658"/>
      <c r="N85" s="255"/>
      <c r="O85" s="255"/>
      <c r="P85" s="255"/>
      <c r="Q85" s="255"/>
      <c r="R85" s="255"/>
      <c r="S85" s="255"/>
      <c r="T85" s="255"/>
      <c r="U85" s="255"/>
      <c r="V85" s="255"/>
      <c r="W85" s="255"/>
    </row>
    <row r="86" spans="1:24" x14ac:dyDescent="0.25">
      <c r="A86" s="7"/>
      <c r="B86" s="7"/>
      <c r="C86" s="7"/>
      <c r="D86" s="1658"/>
      <c r="E86" s="1658"/>
      <c r="F86" s="1658"/>
      <c r="G86" s="1658"/>
      <c r="H86" s="1658"/>
      <c r="I86" s="1658"/>
      <c r="J86" s="1658"/>
      <c r="K86" s="1658"/>
      <c r="L86" s="1658"/>
      <c r="M86" s="1658"/>
      <c r="N86" s="255"/>
      <c r="O86" s="255"/>
      <c r="P86" s="255"/>
      <c r="Q86" s="255"/>
      <c r="R86" s="255"/>
      <c r="S86" s="255"/>
      <c r="T86" s="255"/>
      <c r="U86" s="255"/>
      <c r="V86" s="255"/>
      <c r="W86" s="255"/>
    </row>
    <row r="87" spans="1:24" x14ac:dyDescent="0.25">
      <c r="A87" s="7"/>
      <c r="B87" s="7"/>
      <c r="C87" s="7"/>
      <c r="M87" s="255"/>
      <c r="N87" s="255"/>
      <c r="O87" s="255"/>
      <c r="P87" s="255"/>
      <c r="Q87" s="255"/>
      <c r="R87" s="255"/>
      <c r="S87" s="255"/>
      <c r="T87" s="255"/>
      <c r="U87" s="255"/>
      <c r="V87" s="255"/>
      <c r="W87" s="255"/>
    </row>
    <row r="88" spans="1:24" x14ac:dyDescent="0.25">
      <c r="A88" s="7"/>
      <c r="B88" s="7"/>
      <c r="C88" s="7"/>
    </row>
    <row r="89" spans="1:24" x14ac:dyDescent="0.25">
      <c r="A89" s="7"/>
      <c r="B89" s="7"/>
      <c r="C89" s="7"/>
      <c r="D89" s="257" t="s">
        <v>116</v>
      </c>
      <c r="E89" s="257"/>
      <c r="F89" s="257"/>
      <c r="G89" s="257"/>
      <c r="H89" s="257"/>
      <c r="I89" s="257"/>
      <c r="J89" s="245"/>
      <c r="K89" s="245"/>
      <c r="L89" s="245"/>
      <c r="M89" s="258"/>
      <c r="N89" s="54"/>
      <c r="T89" s="7"/>
      <c r="U89" s="7"/>
      <c r="V89" s="7"/>
    </row>
    <row r="90" spans="1:24" ht="15" customHeight="1" x14ac:dyDescent="0.25">
      <c r="A90" s="7"/>
      <c r="B90" s="7"/>
      <c r="C90" s="7"/>
      <c r="D90" s="17"/>
      <c r="E90" s="17"/>
      <c r="F90" s="17"/>
      <c r="H90" s="84" t="s">
        <v>5</v>
      </c>
      <c r="I90" s="84" t="s">
        <v>5</v>
      </c>
      <c r="N90" s="150"/>
      <c r="O90" s="150"/>
      <c r="P90" s="150"/>
      <c r="Q90" s="150"/>
      <c r="R90" s="150"/>
      <c r="S90" s="150"/>
      <c r="T90" s="264"/>
      <c r="U90" s="150"/>
      <c r="V90" s="150"/>
      <c r="W90" s="339"/>
    </row>
    <row r="91" spans="1:24" ht="15.75" thickBot="1" x14ac:dyDescent="0.3">
      <c r="A91" s="17"/>
      <c r="B91" s="17"/>
      <c r="C91" s="17"/>
      <c r="D91" s="17"/>
      <c r="E91" s="17"/>
      <c r="F91" s="20">
        <v>3</v>
      </c>
      <c r="H91" s="84">
        <v>0</v>
      </c>
      <c r="I91" s="84">
        <v>1</v>
      </c>
      <c r="L91" t="s">
        <v>54</v>
      </c>
      <c r="V91" s="1659" t="s">
        <v>185</v>
      </c>
      <c r="W91" s="1660"/>
      <c r="X91" s="1661"/>
    </row>
    <row r="92" spans="1:24" ht="15.75" thickBot="1" x14ac:dyDescent="0.3">
      <c r="A92" s="7"/>
      <c r="B92" s="7"/>
      <c r="C92" s="7"/>
      <c r="D92" s="17"/>
      <c r="E92" s="17"/>
      <c r="F92" s="21" t="s">
        <v>4</v>
      </c>
      <c r="G92" s="84">
        <v>0</v>
      </c>
      <c r="H92" s="85">
        <f>H70</f>
        <v>0.35</v>
      </c>
      <c r="I92" s="86">
        <f>I70</f>
        <v>0.21203981987370624</v>
      </c>
      <c r="J92" s="87">
        <f>SUM(H92:I92)</f>
        <v>0.56203981987370621</v>
      </c>
      <c r="L92" s="90">
        <f>I93/SUM(H93:I93)</f>
        <v>0.47813894602839851</v>
      </c>
      <c r="V92" s="1662"/>
      <c r="W92" s="1663"/>
      <c r="X92" s="1664"/>
    </row>
    <row r="93" spans="1:24" ht="15.75" thickBot="1" x14ac:dyDescent="0.3">
      <c r="A93" s="7"/>
      <c r="B93" s="7"/>
      <c r="C93" s="7"/>
      <c r="D93" s="17"/>
      <c r="E93" s="17"/>
      <c r="F93" s="21" t="s">
        <v>4</v>
      </c>
      <c r="G93" s="84">
        <v>1</v>
      </c>
      <c r="H93" s="88">
        <f>J70</f>
        <v>0.22855436119830008</v>
      </c>
      <c r="I93" s="89">
        <f>K70</f>
        <v>0.20940581892799362</v>
      </c>
      <c r="J93" s="90">
        <f>SUM(H93:I93)</f>
        <v>0.43796018012629367</v>
      </c>
      <c r="N93" s="340" t="s">
        <v>36</v>
      </c>
      <c r="O93" s="343" t="s">
        <v>180</v>
      </c>
      <c r="P93" s="341" t="s">
        <v>182</v>
      </c>
      <c r="Q93" s="343" t="s">
        <v>180</v>
      </c>
      <c r="R93" s="341" t="s">
        <v>181</v>
      </c>
      <c r="S93" s="342" t="s">
        <v>180</v>
      </c>
      <c r="V93" s="1662"/>
      <c r="W93" s="1663"/>
      <c r="X93" s="1664"/>
    </row>
    <row r="94" spans="1:24" ht="15.75" thickBot="1" x14ac:dyDescent="0.3">
      <c r="A94" s="7"/>
      <c r="B94" s="7"/>
      <c r="C94" s="7"/>
      <c r="D94" s="17"/>
      <c r="E94" s="17"/>
      <c r="F94" s="17"/>
      <c r="H94" s="116">
        <f>SUM(H92:H93)</f>
        <v>0.57855436119830006</v>
      </c>
      <c r="I94" s="117">
        <f>SUM(I92:I93)</f>
        <v>0.42144563880169983</v>
      </c>
      <c r="J94" s="92">
        <f>SUM(H92:I93)</f>
        <v>0.99999999999999989</v>
      </c>
      <c r="N94" s="346">
        <v>0</v>
      </c>
      <c r="O94" s="347"/>
      <c r="P94" s="348">
        <v>0</v>
      </c>
      <c r="Q94" s="347"/>
      <c r="R94" s="348">
        <v>0</v>
      </c>
      <c r="S94" s="349"/>
      <c r="V94" s="1662"/>
      <c r="W94" s="1663"/>
      <c r="X94" s="1664"/>
    </row>
    <row r="95" spans="1:24" x14ac:dyDescent="0.25">
      <c r="A95" s="7"/>
      <c r="B95" s="7"/>
      <c r="C95" s="7"/>
      <c r="D95" s="17"/>
      <c r="E95" s="17"/>
      <c r="F95" s="17"/>
      <c r="H95" s="91"/>
      <c r="I95" s="91"/>
      <c r="J95" s="90"/>
      <c r="N95" s="413">
        <f>$D$62*LN(EXP($D68/$D$62)+EXP($E68/$D$62)+EXP($F68/$D$62)+EXP($G68/$D$62))</f>
        <v>11.090364888959126</v>
      </c>
      <c r="O95" s="409">
        <f t="shared" ref="O95:O102" si="6">N95-N94</f>
        <v>11.090364888959126</v>
      </c>
      <c r="P95" s="416">
        <f>$D$62*((($D68/$D$62)+($E68/$D$62)+($F68/$D$62)+($G68/$D$62)))/((SUM(($D68/$D$62)^2,($E68/$D$62)^2,($F68/$D$62)^2,($G68/$D$62)^2)^(1/2)))</f>
        <v>16</v>
      </c>
      <c r="Q95" s="409">
        <f t="shared" ref="Q95:Q102" si="7">P95-P94</f>
        <v>16</v>
      </c>
      <c r="R95" s="416">
        <f>$D$62*(($D68/$D$62)+($E68/$D$62)+($F68/$D$62)+($G68/$D$62)) - $D$62*(SUM(($D68/$D$62)^2,($E68/$D$62)^2,($F68/$D$62)^2,($G68/$D$62)^2)/2)</f>
        <v>3.9999975000000002E-5</v>
      </c>
      <c r="S95" s="417">
        <f t="shared" ref="S95:S102" si="8">R95-R94</f>
        <v>3.9999975000000002E-5</v>
      </c>
      <c r="T95" s="345" t="s">
        <v>184</v>
      </c>
      <c r="V95" s="1662"/>
      <c r="W95" s="1663"/>
      <c r="X95" s="1664"/>
    </row>
    <row r="96" spans="1:24" x14ac:dyDescent="0.25">
      <c r="A96" s="7"/>
      <c r="B96" s="7"/>
      <c r="C96" s="7"/>
      <c r="D96" s="17"/>
      <c r="E96" s="17"/>
      <c r="F96" s="17"/>
      <c r="H96" s="91"/>
      <c r="I96" s="91"/>
      <c r="J96" s="90"/>
      <c r="N96" s="413">
        <f t="shared" ref="N96:N102" si="9">$D$62*LN(EXP($D69/$D$62)+EXP($E69/$D$62)+EXP($F69/$D$62)+EXP($G69/$D$62))</f>
        <v>12.090354888959125</v>
      </c>
      <c r="O96" s="410">
        <f t="shared" si="6"/>
        <v>0.9999899999999986</v>
      </c>
      <c r="P96" s="416">
        <f t="shared" ref="P96:P102" si="10">$D$62*((($D69/$D$62)+($E69/$D$62)+($F69/$D$62)+($G69/$D$62)))/((SUM(($D69/$D$62)^2,($E69/$D$62)^2,($F69/$D$62)^2,($G69/$D$62)^2)^(1/2)))</f>
        <v>16</v>
      </c>
      <c r="Q96" s="410">
        <f t="shared" si="7"/>
        <v>0</v>
      </c>
      <c r="R96" s="416">
        <f t="shared" ref="R96:R102" si="11">$D$62*(($D69/$D$62)+($E69/$D$62)+($F69/$D$62)+($G69/$D$62)) - $D$62*(SUM(($D69/$D$62)^2,($E69/$D$62)^2,($F69/$D$62)^2,($G69/$D$62)^2)/2)</f>
        <v>3.75</v>
      </c>
      <c r="S96" s="418">
        <f t="shared" si="8"/>
        <v>3.7499600000250002</v>
      </c>
      <c r="V96" s="1662"/>
      <c r="W96" s="1663"/>
      <c r="X96" s="1664"/>
    </row>
    <row r="97" spans="1:24" ht="15.75" thickBot="1" x14ac:dyDescent="0.3">
      <c r="A97" s="7"/>
      <c r="B97" s="7"/>
      <c r="C97" s="17"/>
      <c r="D97" s="17"/>
      <c r="E97" s="17"/>
      <c r="F97" s="20">
        <v>4</v>
      </c>
      <c r="H97" s="93">
        <v>0</v>
      </c>
      <c r="I97" s="93">
        <v>1</v>
      </c>
      <c r="J97" s="90"/>
      <c r="L97" t="s">
        <v>54</v>
      </c>
      <c r="M97">
        <v>3</v>
      </c>
      <c r="N97" s="413">
        <f t="shared" si="9"/>
        <v>12.60784953883952</v>
      </c>
      <c r="O97" s="410">
        <f t="shared" si="6"/>
        <v>0.51749464988039584</v>
      </c>
      <c r="P97" s="416">
        <f t="shared" si="10"/>
        <v>9.8996991067417444</v>
      </c>
      <c r="Q97" s="410">
        <f t="shared" si="7"/>
        <v>-6.1003008932582556</v>
      </c>
      <c r="R97" s="416">
        <f t="shared" si="11"/>
        <v>4.1587740841006138</v>
      </c>
      <c r="S97" s="418">
        <f t="shared" si="8"/>
        <v>0.40877408410061378</v>
      </c>
      <c r="V97" s="1662"/>
      <c r="W97" s="1663"/>
      <c r="X97" s="1664"/>
    </row>
    <row r="98" spans="1:24" x14ac:dyDescent="0.25">
      <c r="A98" s="7"/>
      <c r="B98" s="7"/>
      <c r="C98" s="7"/>
      <c r="F98" s="21" t="s">
        <v>4</v>
      </c>
      <c r="G98" s="84">
        <v>0</v>
      </c>
      <c r="H98" s="85">
        <f>H71</f>
        <v>0.34388908334498003</v>
      </c>
      <c r="I98" s="86">
        <f>I71</f>
        <v>0.21569600589575436</v>
      </c>
      <c r="J98" s="87">
        <f>SUM(H98:I98)</f>
        <v>0.55958508924073436</v>
      </c>
      <c r="L98" s="403">
        <f>I99/SUM(H99:I99)</f>
        <v>0.46717229178344477</v>
      </c>
      <c r="M98">
        <v>4</v>
      </c>
      <c r="N98" s="414">
        <f t="shared" si="9"/>
        <v>12.748761388752838</v>
      </c>
      <c r="O98" s="411">
        <f t="shared" si="6"/>
        <v>0.14091184991331751</v>
      </c>
      <c r="P98" s="419">
        <f t="shared" si="10"/>
        <v>10.819560179568017</v>
      </c>
      <c r="Q98" s="420">
        <f t="shared" si="7"/>
        <v>0.91986107282627216</v>
      </c>
      <c r="R98" s="419">
        <f t="shared" si="11"/>
        <v>4.7337484278654358</v>
      </c>
      <c r="S98" s="420">
        <f t="shared" si="8"/>
        <v>0.57497434376482204</v>
      </c>
      <c r="T98" s="344" t="s">
        <v>183</v>
      </c>
      <c r="V98" s="1662"/>
      <c r="W98" s="1663"/>
      <c r="X98" s="1664"/>
    </row>
    <row r="99" spans="1:24" ht="15.75" thickBot="1" x14ac:dyDescent="0.3">
      <c r="A99" s="7"/>
      <c r="B99" s="7"/>
      <c r="C99" s="7"/>
      <c r="F99" s="21" t="s">
        <v>4</v>
      </c>
      <c r="G99" s="84">
        <v>1</v>
      </c>
      <c r="H99" s="88">
        <f>J71</f>
        <v>0.23466526756425818</v>
      </c>
      <c r="I99" s="89">
        <f>K71</f>
        <v>0.20574964319500744</v>
      </c>
      <c r="J99" s="90">
        <f>SUM(H99:I99)</f>
        <v>0.44041491075926564</v>
      </c>
      <c r="M99">
        <v>5</v>
      </c>
      <c r="N99" s="414">
        <f t="shared" si="9"/>
        <v>15.832678457777227</v>
      </c>
      <c r="O99" s="411">
        <f t="shared" si="6"/>
        <v>3.0839170690243893</v>
      </c>
      <c r="P99" s="419">
        <f t="shared" si="10"/>
        <v>15.275585766304406</v>
      </c>
      <c r="Q99" s="420">
        <f t="shared" si="7"/>
        <v>4.4560255867363896</v>
      </c>
      <c r="R99" s="419">
        <f t="shared" si="11"/>
        <v>12.606691000000001</v>
      </c>
      <c r="S99" s="420">
        <f t="shared" si="8"/>
        <v>7.8729425721345656</v>
      </c>
      <c r="T99" s="344" t="s">
        <v>183</v>
      </c>
      <c r="V99" s="1662"/>
      <c r="W99" s="1663"/>
      <c r="X99" s="1664"/>
    </row>
    <row r="100" spans="1:24" ht="15.75" thickBot="1" x14ac:dyDescent="0.3">
      <c r="A100" s="7"/>
      <c r="B100" s="7"/>
      <c r="C100" s="7"/>
      <c r="H100" s="116">
        <f>SUM(H98:H99)</f>
        <v>0.57855435090923824</v>
      </c>
      <c r="I100" s="117">
        <f>SUM(I98:I99)</f>
        <v>0.42144564909076176</v>
      </c>
      <c r="J100" s="92">
        <f>SUM(H98:I99)</f>
        <v>1</v>
      </c>
      <c r="N100" s="413">
        <f t="shared" si="9"/>
        <v>17.248385453430764</v>
      </c>
      <c r="O100" s="410">
        <f t="shared" si="6"/>
        <v>1.4157069956535366</v>
      </c>
      <c r="P100" s="416">
        <f t="shared" si="10"/>
        <v>13.469046060602045</v>
      </c>
      <c r="Q100" s="410">
        <f t="shared" si="7"/>
        <v>-1.8065397057023613</v>
      </c>
      <c r="R100" s="416">
        <f>$D$62*(($D73/$D$62)+($E73/$D$62)+($F73/$D$62)+($G73/$D$62)) - $D$62*(SUM(($D73/$D$62)^2,($E73/$D$62)^2,($F73/$D$62)^2,($G73/$D$62)^2)/2)</f>
        <v>11.302499999999998</v>
      </c>
      <c r="S100" s="418">
        <f t="shared" si="8"/>
        <v>-1.304191000000003</v>
      </c>
      <c r="V100" s="1662"/>
      <c r="W100" s="1663"/>
      <c r="X100" s="1664"/>
    </row>
    <row r="101" spans="1:24" x14ac:dyDescent="0.25">
      <c r="A101" s="7"/>
      <c r="B101" s="7"/>
      <c r="C101" s="7"/>
      <c r="N101" s="413">
        <f t="shared" si="9"/>
        <v>14.962522986437438</v>
      </c>
      <c r="O101" s="410">
        <f t="shared" si="6"/>
        <v>-2.2858624669933256</v>
      </c>
      <c r="P101" s="416">
        <f t="shared" si="10"/>
        <v>8</v>
      </c>
      <c r="Q101" s="410">
        <f t="shared" si="7"/>
        <v>-5.4690460606020448</v>
      </c>
      <c r="R101" s="416">
        <f t="shared" si="11"/>
        <v>3.75</v>
      </c>
      <c r="S101" s="418">
        <f t="shared" si="8"/>
        <v>-7.5524999999999984</v>
      </c>
      <c r="V101" s="1662"/>
      <c r="W101" s="1663"/>
      <c r="X101" s="1664"/>
    </row>
    <row r="102" spans="1:24" ht="15.75" customHeight="1" thickBot="1" x14ac:dyDescent="0.3">
      <c r="F102" s="1668" t="s">
        <v>55</v>
      </c>
      <c r="G102" s="1668"/>
      <c r="H102" s="1668"/>
      <c r="I102" s="1668"/>
      <c r="J102" s="1668"/>
      <c r="K102" s="1668"/>
      <c r="L102" s="1668"/>
      <c r="N102" s="415">
        <f t="shared" si="9"/>
        <v>14.962522986437438</v>
      </c>
      <c r="O102" s="412">
        <f t="shared" si="6"/>
        <v>0</v>
      </c>
      <c r="P102" s="421">
        <f t="shared" si="10"/>
        <v>8</v>
      </c>
      <c r="Q102" s="412">
        <f t="shared" si="7"/>
        <v>0</v>
      </c>
      <c r="R102" s="421">
        <f t="shared" si="11"/>
        <v>3.75</v>
      </c>
      <c r="S102" s="422">
        <f t="shared" si="8"/>
        <v>0</v>
      </c>
      <c r="V102" s="1662"/>
      <c r="W102" s="1663"/>
      <c r="X102" s="1664"/>
    </row>
    <row r="103" spans="1:24" x14ac:dyDescent="0.25">
      <c r="F103" s="1668"/>
      <c r="G103" s="1668"/>
      <c r="H103" s="1668"/>
      <c r="I103" s="1668"/>
      <c r="J103" s="1668"/>
      <c r="K103" s="1668"/>
      <c r="L103" s="1668"/>
      <c r="N103" s="140"/>
      <c r="O103" s="8"/>
      <c r="P103" s="8"/>
      <c r="Q103" s="8"/>
      <c r="R103" s="8"/>
      <c r="S103" s="8"/>
      <c r="V103" s="1662"/>
      <c r="W103" s="1663"/>
      <c r="X103" s="1664"/>
    </row>
    <row r="104" spans="1:24" x14ac:dyDescent="0.25">
      <c r="N104" s="140"/>
      <c r="P104" s="8"/>
      <c r="R104" s="8"/>
      <c r="S104" s="8"/>
      <c r="V104" s="1662"/>
      <c r="W104" s="1663"/>
      <c r="X104" s="1664"/>
    </row>
    <row r="105" spans="1:24" ht="15.75" thickBot="1" x14ac:dyDescent="0.3">
      <c r="F105" s="26">
        <v>5</v>
      </c>
      <c r="H105" s="93">
        <v>0</v>
      </c>
      <c r="I105" s="93">
        <v>1</v>
      </c>
      <c r="J105" s="90"/>
      <c r="L105" t="s">
        <v>54</v>
      </c>
      <c r="N105" s="141"/>
      <c r="O105" s="141"/>
      <c r="P105" s="141"/>
      <c r="Q105" s="141"/>
      <c r="R105" s="141"/>
      <c r="S105" s="141"/>
      <c r="V105" s="1662"/>
      <c r="W105" s="1663"/>
      <c r="X105" s="1664"/>
    </row>
    <row r="106" spans="1:24" x14ac:dyDescent="0.25">
      <c r="F106" s="21" t="s">
        <v>4</v>
      </c>
      <c r="G106" s="84">
        <v>0</v>
      </c>
      <c r="H106" s="85">
        <f>H72</f>
        <v>0.33151414279912189</v>
      </c>
      <c r="I106" s="86">
        <f>I72</f>
        <v>0.22784611611341585</v>
      </c>
      <c r="J106" s="87">
        <f>SUM(H106:I106)</f>
        <v>0.55936025891253771</v>
      </c>
      <c r="L106" s="403">
        <f>I107/SUM(H107:I107)</f>
        <v>0.46717229178344477</v>
      </c>
      <c r="N106" s="140"/>
      <c r="O106" s="8"/>
      <c r="P106" s="140"/>
      <c r="Q106" s="8"/>
      <c r="R106" s="140"/>
      <c r="S106" s="8"/>
      <c r="V106" s="1662"/>
      <c r="W106" s="1663"/>
      <c r="X106" s="1664"/>
    </row>
    <row r="107" spans="1:24" ht="15.75" thickBot="1" x14ac:dyDescent="0.3">
      <c r="F107" s="21" t="s">
        <v>4</v>
      </c>
      <c r="G107" s="84">
        <v>1</v>
      </c>
      <c r="H107" s="88">
        <f>J72</f>
        <v>0.23478506339276881</v>
      </c>
      <c r="I107" s="89">
        <f>K72</f>
        <v>0.20585467769469348</v>
      </c>
      <c r="J107" s="90">
        <f>SUM(H107:I107)</f>
        <v>0.44063974108746229</v>
      </c>
      <c r="N107" s="140"/>
      <c r="O107" s="8"/>
      <c r="P107" s="140"/>
      <c r="Q107" s="8"/>
      <c r="R107" s="140"/>
      <c r="S107" s="8"/>
      <c r="V107" s="1662"/>
      <c r="W107" s="1663"/>
      <c r="X107" s="1664"/>
    </row>
    <row r="108" spans="1:24" ht="15.75" thickBot="1" x14ac:dyDescent="0.3">
      <c r="H108" s="116">
        <f>SUM(H106:H107)</f>
        <v>0.56629920619189067</v>
      </c>
      <c r="I108" s="91">
        <f>SUM(I106:I107)</f>
        <v>0.43370079380810933</v>
      </c>
      <c r="J108" s="92">
        <f>SUM(H106:I107)</f>
        <v>1</v>
      </c>
      <c r="V108" s="1662"/>
      <c r="W108" s="1663"/>
      <c r="X108" s="1664"/>
    </row>
    <row r="109" spans="1:24" x14ac:dyDescent="0.25">
      <c r="V109" s="1662"/>
      <c r="W109" s="1663"/>
      <c r="X109" s="1664"/>
    </row>
    <row r="110" spans="1:24" ht="18" customHeight="1" x14ac:dyDescent="0.25">
      <c r="F110" s="1668" t="s">
        <v>56</v>
      </c>
      <c r="G110" s="1668"/>
      <c r="H110" s="1668"/>
      <c r="I110" s="1668"/>
      <c r="J110" s="1668"/>
      <c r="K110" s="1668"/>
      <c r="L110" s="1668"/>
      <c r="V110" s="1662"/>
      <c r="W110" s="1663"/>
      <c r="X110" s="1664"/>
    </row>
    <row r="111" spans="1:24" x14ac:dyDescent="0.25">
      <c r="F111" s="1668"/>
      <c r="G111" s="1668"/>
      <c r="H111" s="1668"/>
      <c r="I111" s="1668"/>
      <c r="J111" s="1668"/>
      <c r="K111" s="1668"/>
      <c r="L111" s="1668"/>
      <c r="V111" s="1662"/>
      <c r="W111" s="1663"/>
      <c r="X111" s="1664"/>
    </row>
    <row r="112" spans="1:24" x14ac:dyDescent="0.25">
      <c r="V112" s="1662"/>
      <c r="W112" s="1663"/>
      <c r="X112" s="1664"/>
    </row>
    <row r="113" spans="10:24" x14ac:dyDescent="0.25">
      <c r="V113" s="1662"/>
      <c r="W113" s="1663"/>
      <c r="X113" s="1664"/>
    </row>
    <row r="114" spans="10:24" x14ac:dyDescent="0.25">
      <c r="J114" s="33"/>
      <c r="K114" s="33"/>
      <c r="L114" s="33"/>
      <c r="M114" s="33"/>
      <c r="N114" s="33"/>
      <c r="V114" s="1662"/>
      <c r="W114" s="1663"/>
      <c r="X114" s="1664"/>
    </row>
    <row r="115" spans="10:24" x14ac:dyDescent="0.25">
      <c r="J115" s="33"/>
      <c r="K115" s="33"/>
      <c r="L115" s="33"/>
      <c r="M115" s="33"/>
      <c r="N115" s="33"/>
      <c r="V115" s="1662"/>
      <c r="W115" s="1663"/>
      <c r="X115" s="1664"/>
    </row>
    <row r="116" spans="10:24" x14ac:dyDescent="0.25">
      <c r="J116" s="33"/>
      <c r="K116" s="33"/>
      <c r="L116" s="33"/>
      <c r="M116" s="33"/>
      <c r="N116" s="33"/>
      <c r="V116" s="1662"/>
      <c r="W116" s="1663"/>
      <c r="X116" s="1664"/>
    </row>
    <row r="117" spans="10:24" x14ac:dyDescent="0.25">
      <c r="V117" s="1662"/>
      <c r="W117" s="1663"/>
      <c r="X117" s="1664"/>
    </row>
    <row r="118" spans="10:24" x14ac:dyDescent="0.25">
      <c r="V118" s="1662"/>
      <c r="W118" s="1663"/>
      <c r="X118" s="1664"/>
    </row>
    <row r="119" spans="10:24" x14ac:dyDescent="0.25">
      <c r="V119" s="1662"/>
      <c r="W119" s="1663"/>
      <c r="X119" s="1664"/>
    </row>
    <row r="120" spans="10:24" x14ac:dyDescent="0.25">
      <c r="V120" s="1662"/>
      <c r="W120" s="1663"/>
      <c r="X120" s="1664"/>
    </row>
    <row r="121" spans="10:24" x14ac:dyDescent="0.25">
      <c r="V121" s="1662"/>
      <c r="W121" s="1663"/>
      <c r="X121" s="1664"/>
    </row>
    <row r="122" spans="10:24" x14ac:dyDescent="0.25">
      <c r="V122" s="1662"/>
      <c r="W122" s="1663"/>
      <c r="X122" s="1664"/>
    </row>
    <row r="123" spans="10:24" x14ac:dyDescent="0.25">
      <c r="V123" s="1665"/>
      <c r="W123" s="1666"/>
      <c r="X123" s="1667"/>
    </row>
  </sheetData>
  <mergeCells count="11">
    <mergeCell ref="B60:B63"/>
    <mergeCell ref="B13:B15"/>
    <mergeCell ref="B17:B20"/>
    <mergeCell ref="B52:B54"/>
    <mergeCell ref="B56:B58"/>
    <mergeCell ref="C6:O8"/>
    <mergeCell ref="C38:M45"/>
    <mergeCell ref="D80:M86"/>
    <mergeCell ref="V91:X123"/>
    <mergeCell ref="F102:L103"/>
    <mergeCell ref="F110:L111"/>
  </mergeCells>
  <phoneticPr fontId="39" type="noConversion"/>
  <conditionalFormatting sqref="AP68:AS74">
    <cfRule type="dataBar" priority="1">
      <dataBar>
        <cfvo type="min"/>
        <cfvo type="max"/>
        <color rgb="FF638EC6"/>
      </dataBar>
      <extLst>
        <ext xmlns:x14="http://schemas.microsoft.com/office/spreadsheetml/2009/9/main" uri="{B025F937-C7B1-47D3-B67F-A62EFF666E3E}">
          <x14:id>{E3C78D6C-521B-4AFC-91DA-2EC28C87A421}</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E3C78D6C-521B-4AFC-91DA-2EC28C87A421}">
            <x14:dataBar minLength="0" maxLength="100" gradient="0">
              <x14:cfvo type="autoMin"/>
              <x14:cfvo type="autoMax"/>
              <x14:negativeFillColor rgb="FFFF0000"/>
              <x14:axisColor rgb="FF000000"/>
            </x14:dataBar>
          </x14:cfRule>
          <xm:sqref>AP68:AS74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499984740745262"/>
  </sheetPr>
  <dimension ref="A2:AP26"/>
  <sheetViews>
    <sheetView zoomScale="70" zoomScaleNormal="70" workbookViewId="0">
      <selection activeCell="B25" sqref="B25"/>
    </sheetView>
  </sheetViews>
  <sheetFormatPr defaultRowHeight="15" x14ac:dyDescent="0.25"/>
  <cols>
    <col min="5" max="9" width="11.42578125" style="33" customWidth="1"/>
    <col min="10" max="10" width="12" style="33" customWidth="1"/>
    <col min="13" max="13" width="9.42578125" customWidth="1"/>
    <col min="14" max="14" width="12.7109375" customWidth="1"/>
    <col min="15" max="15" width="10.28515625" customWidth="1"/>
    <col min="16" max="16" width="10.7109375" customWidth="1"/>
    <col min="18" max="18" width="9.42578125" customWidth="1"/>
    <col min="20" max="20" width="12.140625" customWidth="1"/>
    <col min="21" max="21" width="10.5703125" customWidth="1"/>
    <col min="24" max="24" width="11.140625" customWidth="1"/>
  </cols>
  <sheetData>
    <row r="2" spans="2:42" s="7" customFormat="1" x14ac:dyDescent="0.25">
      <c r="E2" s="17"/>
      <c r="F2" s="17"/>
      <c r="G2" s="17"/>
      <c r="H2" s="17"/>
      <c r="I2" s="17"/>
      <c r="J2" s="17"/>
    </row>
    <row r="3" spans="2:42" ht="21" x14ac:dyDescent="0.35">
      <c r="D3" s="139" t="s">
        <v>66</v>
      </c>
      <c r="K3" t="s">
        <v>44</v>
      </c>
    </row>
    <row r="4" spans="2:42" x14ac:dyDescent="0.25">
      <c r="D4" t="s">
        <v>4</v>
      </c>
      <c r="E4" s="33" t="s">
        <v>10</v>
      </c>
      <c r="F4" s="33" t="s">
        <v>11</v>
      </c>
      <c r="H4" s="33" t="s">
        <v>42</v>
      </c>
      <c r="I4" s="33">
        <f>COUNTA(E8:H8)</f>
        <v>4</v>
      </c>
      <c r="K4">
        <f>M9</f>
        <v>2.7725887222397811</v>
      </c>
      <c r="N4" s="18"/>
      <c r="O4" s="7"/>
      <c r="P4" s="7"/>
      <c r="Q4" s="7"/>
      <c r="R4" s="18"/>
    </row>
    <row r="5" spans="2:42" x14ac:dyDescent="0.25">
      <c r="D5" t="s">
        <v>5</v>
      </c>
      <c r="E5" s="33" t="s">
        <v>2</v>
      </c>
      <c r="F5" s="33" t="s">
        <v>3</v>
      </c>
      <c r="N5" s="18"/>
      <c r="O5" s="7"/>
      <c r="P5" s="7"/>
      <c r="Q5" s="7"/>
      <c r="R5" s="18"/>
    </row>
    <row r="7" spans="2:42" ht="27.75" customHeight="1" x14ac:dyDescent="0.25">
      <c r="C7" s="7"/>
      <c r="E7" s="36" t="s">
        <v>12</v>
      </c>
      <c r="F7" s="37"/>
      <c r="G7" s="37"/>
      <c r="H7" s="38"/>
      <c r="I7" s="14" t="s">
        <v>13</v>
      </c>
      <c r="J7" s="15"/>
      <c r="K7" s="15"/>
      <c r="L7" s="16"/>
      <c r="M7" s="15" t="s">
        <v>36</v>
      </c>
      <c r="N7" s="16" t="s">
        <v>35</v>
      </c>
      <c r="O7" s="20"/>
      <c r="P7" s="20"/>
      <c r="R7" s="20"/>
      <c r="S7" s="20"/>
      <c r="T7" s="20"/>
      <c r="U7" s="30"/>
      <c r="V7" s="31"/>
      <c r="W7" s="7"/>
      <c r="X7" s="7"/>
      <c r="Y7" s="7"/>
      <c r="Z7" s="31"/>
      <c r="AA7" s="7"/>
      <c r="AB7" s="7"/>
      <c r="AC7" s="7"/>
      <c r="AD7" s="7"/>
      <c r="AE7" s="7"/>
      <c r="AF7" s="7"/>
      <c r="AG7" s="7"/>
      <c r="AH7" s="7"/>
      <c r="AI7" s="7"/>
      <c r="AJ7" s="7"/>
      <c r="AK7" s="7"/>
      <c r="AL7" s="7"/>
      <c r="AM7" s="7"/>
      <c r="AN7" s="7"/>
      <c r="AO7" s="7"/>
      <c r="AP7" s="7"/>
    </row>
    <row r="8" spans="2:42" ht="16.5" thickBot="1" x14ac:dyDescent="0.3">
      <c r="C8" s="151" t="s">
        <v>5</v>
      </c>
      <c r="D8" s="115" t="s">
        <v>34</v>
      </c>
      <c r="E8" s="39" t="s">
        <v>6</v>
      </c>
      <c r="F8" s="55" t="s">
        <v>7</v>
      </c>
      <c r="G8" s="40" t="s">
        <v>8</v>
      </c>
      <c r="H8" s="56" t="s">
        <v>9</v>
      </c>
      <c r="I8" s="64" t="s">
        <v>6</v>
      </c>
      <c r="J8" s="65" t="s">
        <v>7</v>
      </c>
      <c r="K8" s="66" t="s">
        <v>8</v>
      </c>
      <c r="L8" s="67" t="s">
        <v>9</v>
      </c>
      <c r="M8" s="294">
        <v>0</v>
      </c>
      <c r="N8" s="35"/>
      <c r="O8" s="7"/>
      <c r="P8" s="7"/>
      <c r="R8" s="7"/>
      <c r="S8" s="7"/>
      <c r="T8" s="7"/>
      <c r="U8" s="7"/>
      <c r="V8" s="7"/>
      <c r="W8" s="7"/>
      <c r="X8" s="7"/>
      <c r="Y8" s="7"/>
      <c r="Z8" s="7"/>
      <c r="AA8" s="7"/>
      <c r="AB8" s="7"/>
      <c r="AC8" s="7"/>
      <c r="AD8" s="7"/>
      <c r="AE8" s="7"/>
      <c r="AF8" s="7"/>
      <c r="AG8" s="7"/>
      <c r="AH8" s="7"/>
      <c r="AI8" s="7"/>
      <c r="AJ8" s="7"/>
      <c r="AK8" s="7"/>
      <c r="AL8" s="7"/>
      <c r="AM8" s="18"/>
      <c r="AN8" s="18"/>
      <c r="AO8" s="18"/>
      <c r="AP8" s="18"/>
    </row>
    <row r="9" spans="2:42" ht="16.5" thickTop="1" x14ac:dyDescent="0.25">
      <c r="B9" t="s">
        <v>63</v>
      </c>
      <c r="C9" s="152">
        <v>2</v>
      </c>
      <c r="D9">
        <v>1</v>
      </c>
      <c r="E9" s="44">
        <v>0</v>
      </c>
      <c r="F9" s="57">
        <v>0</v>
      </c>
      <c r="G9" s="45">
        <v>0</v>
      </c>
      <c r="H9" s="58">
        <v>0</v>
      </c>
      <c r="I9" s="68">
        <f>EXP(E9/$C9)/(EXP($E9/$C9)+EXP($F9/$C9)+EXP($G9/$C9)+EXP($H9/$C9))</f>
        <v>0.25</v>
      </c>
      <c r="J9" s="69">
        <f t="shared" ref="J9:J14" si="0">EXP(F9/$C9)/(EXP($E9/$C9)+EXP($F9/$C9)+EXP($G9/$C9)+EXP($H9/$C9))</f>
        <v>0.25</v>
      </c>
      <c r="K9" s="70">
        <f t="shared" ref="K9:K15" si="1">EXP(G9/$C9)/(EXP($E9/$C9)+EXP($F9/$C9)+EXP($G9/$C9)+EXP($H9/$C9))</f>
        <v>0.25</v>
      </c>
      <c r="L9" s="298">
        <f t="shared" ref="L9:L15" si="2">EXP(H9/$C9)/(EXP($E9/$C9)+EXP($F9/$C9)+EXP($G9/$C9)+EXP($H9/$C9))</f>
        <v>0.25</v>
      </c>
      <c r="M9" s="81">
        <f>$C9*LN(EXP($E9/$C9)+EXP($F9/$C9)+EXP($G9/$C9)+EXP($H9/$C9))</f>
        <v>2.7725887222397811</v>
      </c>
      <c r="N9" s="74">
        <f>(M9-0)</f>
        <v>2.7725887222397811</v>
      </c>
      <c r="O9" s="7"/>
      <c r="P9" s="7"/>
      <c r="R9" s="7"/>
      <c r="S9" s="7"/>
      <c r="T9" s="7"/>
      <c r="U9" s="7"/>
      <c r="V9" s="8"/>
      <c r="W9" s="8"/>
      <c r="X9" s="8"/>
      <c r="Y9" s="8"/>
      <c r="Z9" s="7"/>
      <c r="AA9" s="7"/>
      <c r="AB9" s="7"/>
      <c r="AC9" s="7"/>
      <c r="AD9" s="7"/>
      <c r="AE9" s="7"/>
      <c r="AF9" s="7"/>
      <c r="AG9" s="7"/>
      <c r="AH9" s="7"/>
      <c r="AI9" s="7"/>
      <c r="AJ9" s="7"/>
      <c r="AK9" s="7"/>
      <c r="AL9" s="7"/>
      <c r="AM9" s="19"/>
      <c r="AN9" s="19"/>
      <c r="AO9" s="19"/>
      <c r="AP9" s="19"/>
    </row>
    <row r="10" spans="2:42" ht="15.75" x14ac:dyDescent="0.25">
      <c r="B10" s="7" t="s">
        <v>63</v>
      </c>
      <c r="C10" s="152">
        <v>2</v>
      </c>
      <c r="D10" s="7">
        <v>2</v>
      </c>
      <c r="E10" s="47">
        <v>0</v>
      </c>
      <c r="F10" s="59">
        <v>1</v>
      </c>
      <c r="G10" s="41">
        <v>2</v>
      </c>
      <c r="H10" s="60">
        <v>0</v>
      </c>
      <c r="I10" s="71">
        <f t="shared" ref="I10:I15" si="3">EXP(E10/$C10)/(EXP($E10/$C10)+EXP($F10/$C10)+EXP($G10/$C10)+EXP($H10/$C10))</f>
        <v>0.1570597633495828</v>
      </c>
      <c r="J10" s="72">
        <f t="shared" si="0"/>
        <v>0.25894777260558555</v>
      </c>
      <c r="K10" s="73">
        <f t="shared" si="1"/>
        <v>0.4269327006952488</v>
      </c>
      <c r="L10" s="299">
        <f t="shared" si="2"/>
        <v>0.1570597633495828</v>
      </c>
      <c r="M10" s="82">
        <f>$C10*LN(EXP($E10/$C10)+EXP($F10/$C10)+EXP($G10/$C10)+EXP($H10/$C10))</f>
        <v>3.7022577755764261</v>
      </c>
      <c r="N10" s="75">
        <f t="shared" ref="N10:N15" si="4">(M10-M9)</f>
        <v>0.92966905333664496</v>
      </c>
      <c r="O10" s="7"/>
      <c r="R10" s="7"/>
      <c r="S10" s="7"/>
      <c r="T10" s="7"/>
      <c r="U10" s="7"/>
      <c r="V10" s="29"/>
      <c r="W10" s="29"/>
      <c r="X10" s="29"/>
      <c r="Y10" s="29"/>
      <c r="Z10" s="7"/>
      <c r="AA10" s="7"/>
      <c r="AB10" s="7"/>
      <c r="AC10" s="7"/>
      <c r="AD10" s="7"/>
      <c r="AE10" s="7"/>
      <c r="AF10" s="7"/>
      <c r="AG10" s="7"/>
      <c r="AH10" s="8"/>
      <c r="AI10" s="8"/>
      <c r="AJ10" s="8"/>
      <c r="AK10" s="8"/>
      <c r="AL10" s="7"/>
      <c r="AM10" s="19"/>
      <c r="AN10" s="19"/>
      <c r="AO10" s="19"/>
      <c r="AP10" s="19"/>
    </row>
    <row r="11" spans="2:42" ht="15.75" x14ac:dyDescent="0.25">
      <c r="B11" s="17" t="s">
        <v>63</v>
      </c>
      <c r="C11" s="152">
        <v>2</v>
      </c>
      <c r="D11" s="17">
        <v>3</v>
      </c>
      <c r="E11" s="47">
        <v>1</v>
      </c>
      <c r="F11" s="59">
        <v>1</v>
      </c>
      <c r="G11" s="41">
        <v>2</v>
      </c>
      <c r="H11" s="60">
        <v>0</v>
      </c>
      <c r="I11" s="71">
        <f t="shared" si="3"/>
        <v>0.23500371220159452</v>
      </c>
      <c r="J11" s="72">
        <f t="shared" si="0"/>
        <v>0.23500371220159452</v>
      </c>
      <c r="K11" s="73">
        <f t="shared" si="1"/>
        <v>0.3874556190002601</v>
      </c>
      <c r="L11" s="299">
        <f t="shared" si="2"/>
        <v>0.14253695659655097</v>
      </c>
      <c r="M11" s="82">
        <f t="shared" ref="M11:M16" si="5">$C11*LN(EXP($E11/$C11)+EXP($F11/$C11)+EXP($G11/$C11)+EXP($H11/$C11))</f>
        <v>3.8963079367204267</v>
      </c>
      <c r="N11" s="75">
        <f t="shared" si="4"/>
        <v>0.19405016114400064</v>
      </c>
      <c r="O11" s="7"/>
      <c r="Q11" s="1"/>
      <c r="R11" s="149" t="s">
        <v>64</v>
      </c>
      <c r="S11" s="150"/>
      <c r="T11" s="150"/>
      <c r="U11" s="7"/>
      <c r="V11" s="29"/>
      <c r="W11" s="29"/>
      <c r="X11" s="29"/>
      <c r="Y11" s="29"/>
      <c r="Z11" s="7"/>
      <c r="AA11" s="7"/>
      <c r="AB11" s="7"/>
      <c r="AC11" s="7"/>
      <c r="AD11" s="7"/>
      <c r="AE11" s="7"/>
      <c r="AF11" s="7"/>
      <c r="AG11" s="7"/>
      <c r="AH11" s="8"/>
      <c r="AI11" s="8"/>
      <c r="AJ11" s="8"/>
      <c r="AK11" s="8"/>
      <c r="AL11" s="7"/>
      <c r="AM11" s="19"/>
      <c r="AN11" s="19"/>
      <c r="AO11" s="19"/>
      <c r="AP11" s="19"/>
    </row>
    <row r="12" spans="2:42" ht="15.75" x14ac:dyDescent="0.25">
      <c r="B12" s="140" t="s">
        <v>63</v>
      </c>
      <c r="C12" s="153">
        <v>2</v>
      </c>
      <c r="D12" s="7">
        <v>4</v>
      </c>
      <c r="E12" s="47">
        <v>2</v>
      </c>
      <c r="F12" s="59">
        <v>0</v>
      </c>
      <c r="G12" s="41">
        <v>7</v>
      </c>
      <c r="H12" s="60">
        <f>E12</f>
        <v>2</v>
      </c>
      <c r="I12" s="71">
        <f t="shared" si="3"/>
        <v>6.8726758577284552E-2</v>
      </c>
      <c r="J12" s="72">
        <f t="shared" si="0"/>
        <v>2.5283161538936071E-2</v>
      </c>
      <c r="K12" s="73">
        <f t="shared" si="1"/>
        <v>0.83726332130649472</v>
      </c>
      <c r="L12" s="299">
        <f t="shared" si="2"/>
        <v>6.8726758577284552E-2</v>
      </c>
      <c r="M12" s="82">
        <f t="shared" si="5"/>
        <v>7.3552333132946082</v>
      </c>
      <c r="N12" s="75">
        <f>(M12-M11)</f>
        <v>3.4589253765741814</v>
      </c>
      <c r="O12" s="7"/>
      <c r="Q12" s="5"/>
      <c r="R12" s="148" t="s">
        <v>65</v>
      </c>
      <c r="S12" s="7"/>
      <c r="T12" s="7"/>
      <c r="U12" s="7"/>
      <c r="V12" s="29"/>
      <c r="W12" s="29"/>
      <c r="X12" s="29"/>
      <c r="Y12" s="29"/>
      <c r="Z12" s="7"/>
      <c r="AA12" s="7"/>
      <c r="AB12" s="7"/>
      <c r="AC12" s="21"/>
      <c r="AD12" s="7"/>
      <c r="AE12" s="7"/>
      <c r="AF12" s="7"/>
      <c r="AG12" s="7"/>
      <c r="AH12" s="8"/>
      <c r="AI12" s="8"/>
      <c r="AJ12" s="8"/>
      <c r="AK12" s="8"/>
      <c r="AL12" s="7"/>
      <c r="AM12" s="19"/>
      <c r="AN12" s="19"/>
      <c r="AO12" s="19"/>
      <c r="AP12" s="19"/>
    </row>
    <row r="13" spans="2:42" ht="15.75" x14ac:dyDescent="0.25">
      <c r="B13" s="140" t="s">
        <v>62</v>
      </c>
      <c r="C13" s="153">
        <v>5</v>
      </c>
      <c r="D13" s="7">
        <v>5</v>
      </c>
      <c r="E13" s="47">
        <f>E12</f>
        <v>2</v>
      </c>
      <c r="F13" s="59">
        <f>F12</f>
        <v>0</v>
      </c>
      <c r="G13" s="41">
        <f>G12</f>
        <v>7</v>
      </c>
      <c r="H13" s="60">
        <v>2</v>
      </c>
      <c r="I13" s="71">
        <f t="shared" si="3"/>
        <v>0.18557689420946036</v>
      </c>
      <c r="J13" s="72">
        <f>EXP(F13/$C13)/(EXP($E13/$C13)+EXP($F13/$C13)+EXP($G13/$C13)+EXP($H13/$C13))</f>
        <v>0.12439591226963644</v>
      </c>
      <c r="K13" s="73">
        <f t="shared" si="1"/>
        <v>0.5044502993114427</v>
      </c>
      <c r="L13" s="299">
        <f t="shared" si="2"/>
        <v>0.18557689420946036</v>
      </c>
      <c r="M13" s="82">
        <f>$C13*LN(EXP($E13/$C13)+EXP($F13/$C13)+EXP($G13/$C13)+EXP($H13/$C13))</f>
        <v>10.421429793928922</v>
      </c>
      <c r="N13" s="75">
        <f>(M13-M12)</f>
        <v>3.0661964806343143</v>
      </c>
      <c r="O13" s="7"/>
      <c r="P13" s="7">
        <f>(C13-C12)*LN(I4)</f>
        <v>4.1588830833596715</v>
      </c>
      <c r="Q13" s="5" t="b">
        <f>P13&gt;N13</f>
        <v>1</v>
      </c>
      <c r="R13" s="7"/>
      <c r="S13" s="7"/>
      <c r="T13" s="7"/>
      <c r="U13" s="7"/>
      <c r="V13" s="29"/>
      <c r="W13" s="29"/>
      <c r="X13" s="29"/>
      <c r="Y13" s="29"/>
      <c r="Z13" s="7"/>
      <c r="AA13" s="7"/>
      <c r="AB13" s="7"/>
      <c r="AC13" s="7"/>
      <c r="AD13" s="7"/>
      <c r="AE13" s="7"/>
      <c r="AF13" s="7"/>
      <c r="AG13" s="7"/>
      <c r="AH13" s="8"/>
      <c r="AI13" s="8"/>
      <c r="AJ13" s="8"/>
      <c r="AK13" s="8"/>
      <c r="AL13" s="7"/>
      <c r="AM13" s="19"/>
      <c r="AN13" s="19"/>
      <c r="AO13" s="19"/>
      <c r="AP13" s="19"/>
    </row>
    <row r="14" spans="2:42" ht="15.75" x14ac:dyDescent="0.25">
      <c r="B14" s="140" t="s">
        <v>62</v>
      </c>
      <c r="C14" s="153">
        <v>5</v>
      </c>
      <c r="D14" s="7">
        <v>6</v>
      </c>
      <c r="E14" s="47">
        <v>7</v>
      </c>
      <c r="F14" s="59">
        <v>12</v>
      </c>
      <c r="G14" s="41">
        <v>2</v>
      </c>
      <c r="H14" s="60">
        <v>3.5</v>
      </c>
      <c r="I14" s="71">
        <f>EXP(E14/$C14)/(EXP($E14/$C14)+EXP($F14/$C14)+EXP($G14/$C14)+EXP($H14/$C14))</f>
        <v>0.21820975346958987</v>
      </c>
      <c r="J14" s="72">
        <f t="shared" si="0"/>
        <v>0.59315560764891428</v>
      </c>
      <c r="K14" s="73">
        <f t="shared" si="1"/>
        <v>8.027488216455092E-2</v>
      </c>
      <c r="L14" s="299">
        <f t="shared" si="2"/>
        <v>0.10835975671694488</v>
      </c>
      <c r="M14" s="82">
        <f t="shared" si="5"/>
        <v>14.611492534524269</v>
      </c>
      <c r="N14" s="75">
        <f t="shared" si="4"/>
        <v>4.1900627405953461</v>
      </c>
      <c r="O14" s="7"/>
      <c r="P14" s="7"/>
      <c r="Q14" s="5"/>
      <c r="R14" s="7"/>
      <c r="S14" s="7"/>
      <c r="T14" s="7"/>
      <c r="U14" s="7"/>
      <c r="V14" s="29"/>
      <c r="W14" s="29"/>
      <c r="X14" s="29"/>
      <c r="Y14" s="29"/>
      <c r="Z14" s="7"/>
      <c r="AA14" s="7"/>
      <c r="AB14" s="7"/>
      <c r="AC14" s="7"/>
      <c r="AD14" s="7"/>
      <c r="AE14" s="7"/>
      <c r="AF14" s="7"/>
      <c r="AG14" s="7"/>
      <c r="AH14" s="8"/>
      <c r="AI14" s="8"/>
      <c r="AJ14" s="8"/>
      <c r="AK14" s="8"/>
      <c r="AL14" s="7"/>
      <c r="AM14" s="19"/>
      <c r="AN14" s="19"/>
      <c r="AO14" s="19"/>
      <c r="AP14" s="19"/>
    </row>
    <row r="15" spans="2:42" ht="16.5" thickBot="1" x14ac:dyDescent="0.3">
      <c r="B15" s="140" t="s">
        <v>62</v>
      </c>
      <c r="C15" s="153">
        <v>5</v>
      </c>
      <c r="D15" s="7">
        <v>7</v>
      </c>
      <c r="E15" s="39">
        <v>0</v>
      </c>
      <c r="F15" s="55">
        <v>12</v>
      </c>
      <c r="G15" s="40">
        <v>0</v>
      </c>
      <c r="H15" s="56">
        <v>0</v>
      </c>
      <c r="I15" s="64">
        <f t="shared" si="3"/>
        <v>7.1310520017451792E-2</v>
      </c>
      <c r="J15" s="65">
        <f>EXP(F15/$C15)/(EXP($E15/$C15)+EXP($F15/$C15)+EXP($G15/$C15)+EXP($H15/$C15))</f>
        <v>0.78606843994764464</v>
      </c>
      <c r="K15" s="66">
        <f t="shared" si="1"/>
        <v>7.1310520017451792E-2</v>
      </c>
      <c r="L15" s="300">
        <f t="shared" si="2"/>
        <v>7.1310520017451792E-2</v>
      </c>
      <c r="M15" s="112">
        <f t="shared" si="5"/>
        <v>13.203557083094442</v>
      </c>
      <c r="N15" s="35">
        <f t="shared" si="4"/>
        <v>-1.407935451429827</v>
      </c>
      <c r="O15" s="7"/>
      <c r="P15" s="7"/>
      <c r="R15" s="7"/>
      <c r="S15" s="7"/>
      <c r="T15" s="7"/>
      <c r="U15" s="7"/>
      <c r="V15" s="29"/>
      <c r="W15" s="29"/>
      <c r="X15" s="29"/>
      <c r="Y15" s="29"/>
      <c r="Z15" s="7"/>
      <c r="AA15" s="7"/>
      <c r="AB15" s="7"/>
      <c r="AC15" s="7"/>
      <c r="AD15" s="7"/>
      <c r="AE15" s="7"/>
      <c r="AF15" s="7"/>
      <c r="AG15" s="7"/>
      <c r="AH15" s="29"/>
      <c r="AI15" s="8"/>
      <c r="AJ15" s="8"/>
      <c r="AK15" s="8"/>
      <c r="AL15" s="7"/>
      <c r="AM15" s="19"/>
      <c r="AN15" s="19"/>
      <c r="AO15" s="19"/>
      <c r="AP15" s="19"/>
    </row>
    <row r="16" spans="2:42" ht="17.25" thickTop="1" thickBot="1" x14ac:dyDescent="0.3">
      <c r="B16" s="140" t="s">
        <v>62</v>
      </c>
      <c r="C16" s="153">
        <v>5</v>
      </c>
      <c r="D16" s="7">
        <v>8</v>
      </c>
      <c r="E16" s="44">
        <f>E15</f>
        <v>0</v>
      </c>
      <c r="F16" s="57">
        <v>12</v>
      </c>
      <c r="G16" s="45">
        <f>G15</f>
        <v>0</v>
      </c>
      <c r="H16" s="297">
        <f>H15</f>
        <v>0</v>
      </c>
      <c r="I16" s="558">
        <v>6.1440991013794134E-6</v>
      </c>
      <c r="J16" s="559">
        <v>0.99998156770269597</v>
      </c>
      <c r="K16" s="559">
        <v>6.1440991013794134E-6</v>
      </c>
      <c r="L16" s="559">
        <v>6.1440991013794134E-6</v>
      </c>
      <c r="M16" s="83">
        <f t="shared" si="5"/>
        <v>13.203557083094442</v>
      </c>
      <c r="N16" s="8"/>
      <c r="O16" s="8"/>
      <c r="P16" s="8"/>
      <c r="R16" s="8"/>
      <c r="S16" s="8"/>
      <c r="T16" s="8"/>
      <c r="U16" s="8"/>
      <c r="V16" s="8"/>
      <c r="W16" s="8"/>
      <c r="X16" s="8"/>
      <c r="Y16" s="8"/>
      <c r="Z16" s="8"/>
      <c r="AA16" s="8"/>
      <c r="AB16" s="8"/>
      <c r="AC16" s="8"/>
      <c r="AD16" s="7"/>
      <c r="AE16" s="7"/>
      <c r="AF16" s="7"/>
      <c r="AG16" s="7"/>
      <c r="AH16" s="7"/>
      <c r="AI16" s="7"/>
      <c r="AJ16" s="7"/>
      <c r="AK16" s="7"/>
      <c r="AL16" s="7"/>
      <c r="AM16" s="7"/>
      <c r="AN16" s="7"/>
      <c r="AO16" s="7"/>
      <c r="AP16" s="7"/>
    </row>
    <row r="17" spans="1:18" ht="15.75" thickBot="1" x14ac:dyDescent="0.3">
      <c r="B17" s="7"/>
      <c r="C17" s="7"/>
      <c r="D17" s="7"/>
      <c r="M17" s="244">
        <f>(SUMPRODUCT(I16:L16,E16:H16))</f>
        <v>11.999778812432352</v>
      </c>
      <c r="N17" s="301"/>
    </row>
    <row r="18" spans="1:18" ht="15.75" thickBot="1" x14ac:dyDescent="0.3">
      <c r="B18" s="7"/>
      <c r="C18" s="7"/>
      <c r="D18" s="7"/>
      <c r="M18" s="83">
        <f>M16-M17</f>
        <v>1.2037782706620899</v>
      </c>
      <c r="N18" s="8"/>
    </row>
    <row r="19" spans="1:18" x14ac:dyDescent="0.25">
      <c r="B19" s="7"/>
      <c r="C19" s="7"/>
      <c r="D19" s="7"/>
    </row>
    <row r="20" spans="1:18" x14ac:dyDescent="0.25">
      <c r="A20" s="7"/>
      <c r="B20" s="7"/>
      <c r="C20" s="7"/>
      <c r="D20" s="7"/>
      <c r="E20" s="17"/>
      <c r="F20" s="17"/>
      <c r="G20" s="140"/>
      <c r="H20" s="140"/>
      <c r="I20" s="143"/>
      <c r="J20" s="143"/>
      <c r="K20" s="8"/>
      <c r="L20" s="8"/>
      <c r="M20" s="8"/>
      <c r="N20" s="8"/>
      <c r="O20" s="8"/>
      <c r="P20" s="8"/>
      <c r="Q20" s="8"/>
      <c r="R20" s="8"/>
    </row>
    <row r="21" spans="1:18" x14ac:dyDescent="0.25">
      <c r="A21" s="114"/>
      <c r="B21" s="17" t="s">
        <v>111</v>
      </c>
      <c r="C21" s="17"/>
      <c r="D21" s="17"/>
      <c r="E21" s="17"/>
      <c r="F21" s="17"/>
      <c r="G21" s="141"/>
      <c r="H21" s="140"/>
      <c r="I21" s="143"/>
      <c r="J21" s="143"/>
      <c r="K21" s="8"/>
      <c r="L21" s="8"/>
      <c r="M21" s="8"/>
      <c r="N21" s="8"/>
      <c r="O21" s="8"/>
      <c r="P21" s="8"/>
      <c r="Q21" s="8"/>
      <c r="R21" s="8"/>
    </row>
    <row r="22" spans="1:18" x14ac:dyDescent="0.25">
      <c r="A22" s="7"/>
      <c r="B22" s="7">
        <f>$N$13</f>
        <v>3.0661964806343143</v>
      </c>
      <c r="C22" s="7" t="s">
        <v>112</v>
      </c>
      <c r="D22" s="7"/>
      <c r="E22" s="17"/>
      <c r="F22" s="17"/>
      <c r="G22" s="142"/>
      <c r="H22" s="143"/>
      <c r="I22" s="144"/>
      <c r="J22" s="144"/>
      <c r="K22" s="145"/>
      <c r="L22" s="8"/>
      <c r="M22" s="146"/>
      <c r="N22" s="8"/>
      <c r="O22" s="8"/>
      <c r="P22" s="8"/>
      <c r="Q22" s="8"/>
      <c r="R22" s="8"/>
    </row>
    <row r="23" spans="1:18" x14ac:dyDescent="0.25">
      <c r="B23" s="7"/>
      <c r="C23" s="7"/>
      <c r="D23" s="7"/>
      <c r="E23" s="17"/>
      <c r="F23" s="17"/>
      <c r="G23" s="142"/>
      <c r="H23" s="143"/>
      <c r="I23" s="144"/>
      <c r="J23" s="144"/>
      <c r="K23" s="145"/>
      <c r="L23" s="8"/>
      <c r="M23" s="8"/>
      <c r="N23" s="8"/>
      <c r="O23" s="8"/>
      <c r="P23" s="8"/>
      <c r="Q23" s="8"/>
      <c r="R23" s="8"/>
    </row>
    <row r="24" spans="1:18" x14ac:dyDescent="0.25">
      <c r="B24" t="s">
        <v>812</v>
      </c>
      <c r="C24" s="7"/>
      <c r="D24" s="7"/>
      <c r="E24" s="17"/>
      <c r="F24" s="17"/>
      <c r="G24" s="140"/>
      <c r="H24" s="140"/>
      <c r="I24" s="147"/>
      <c r="J24" s="147"/>
      <c r="K24" s="145"/>
      <c r="L24" s="8"/>
      <c r="M24" s="8"/>
      <c r="N24" s="8"/>
      <c r="O24" s="8"/>
      <c r="P24" s="8"/>
      <c r="Q24" s="8"/>
      <c r="R24" s="8"/>
    </row>
    <row r="26" spans="1:18" x14ac:dyDescent="0.25">
      <c r="B26" s="7" t="s">
        <v>113</v>
      </c>
    </row>
  </sheetData>
  <conditionalFormatting sqref="AM9:AP15">
    <cfRule type="dataBar" priority="1">
      <dataBar>
        <cfvo type="min"/>
        <cfvo type="max"/>
        <color rgb="FF638EC6"/>
      </dataBar>
      <extLst>
        <ext xmlns:x14="http://schemas.microsoft.com/office/spreadsheetml/2009/9/main" uri="{B025F937-C7B1-47D3-B67F-A62EFF666E3E}">
          <x14:id>{92065603-D565-4D36-BD75-4261CB35D089}</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92065603-D565-4D36-BD75-4261CB35D089}">
            <x14:dataBar minLength="0" maxLength="100" gradient="0">
              <x14:cfvo type="autoMin"/>
              <x14:cfvo type="autoMax"/>
              <x14:negativeFillColor rgb="FFFF0000"/>
              <x14:axisColor rgb="FF000000"/>
            </x14:dataBar>
          </x14:cfRule>
          <xm:sqref>AM9:AP15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499984740745262"/>
  </sheetPr>
  <dimension ref="A2:BB103"/>
  <sheetViews>
    <sheetView topLeftCell="A52" zoomScale="70" zoomScaleNormal="70" workbookViewId="0">
      <selection activeCell="U74" sqref="U74"/>
    </sheetView>
  </sheetViews>
  <sheetFormatPr defaultRowHeight="15" x14ac:dyDescent="0.25"/>
  <cols>
    <col min="2" max="2" width="13.5703125" customWidth="1"/>
    <col min="3" max="3" width="5.5703125" customWidth="1"/>
    <col min="4" max="4" width="12.28515625" bestFit="1" customWidth="1"/>
    <col min="5" max="5" width="9.42578125" customWidth="1"/>
    <col min="6" max="6" width="15.42578125" style="33" customWidth="1"/>
    <col min="7" max="7" width="14.7109375" style="33" customWidth="1"/>
    <col min="8" max="11" width="13.42578125" style="33" customWidth="1"/>
    <col min="12" max="13" width="13.42578125" customWidth="1"/>
    <col min="14" max="17" width="15" customWidth="1"/>
    <col min="18" max="18" width="11.5703125" style="84" customWidth="1"/>
    <col min="19" max="20" width="15.42578125" customWidth="1"/>
    <col min="21" max="21" width="8" bestFit="1" customWidth="1"/>
    <col min="22" max="22" width="18.85546875" bestFit="1" customWidth="1"/>
    <col min="24" max="24" width="14.42578125" customWidth="1"/>
    <col min="25" max="25" width="12.28515625" bestFit="1" customWidth="1"/>
    <col min="26" max="27" width="14.140625" customWidth="1"/>
    <col min="28" max="28" width="16" customWidth="1"/>
    <col min="29" max="29" width="18.5703125" bestFit="1" customWidth="1"/>
    <col min="30" max="30" width="29.28515625" style="84" bestFit="1" customWidth="1"/>
    <col min="31" max="31" width="4.7109375" style="84" customWidth="1"/>
    <col min="32" max="32" width="9" style="84" customWidth="1"/>
    <col min="33" max="33" width="20" style="84" customWidth="1"/>
    <col min="34" max="34" width="9.140625" style="84" customWidth="1"/>
    <col min="35" max="35" width="5.5703125" style="84" bestFit="1" customWidth="1"/>
    <col min="36" max="36" width="12.28515625" style="84" bestFit="1" customWidth="1"/>
    <col min="37" max="37" width="11.85546875" bestFit="1" customWidth="1"/>
  </cols>
  <sheetData>
    <row r="2" spans="2:31" ht="36" x14ac:dyDescent="0.55000000000000004">
      <c r="C2" s="786" t="s">
        <v>349</v>
      </c>
      <c r="D2" s="786"/>
      <c r="H2" s="17"/>
      <c r="I2" s="17"/>
      <c r="J2" s="17"/>
      <c r="P2" s="33"/>
    </row>
    <row r="3" spans="2:31" x14ac:dyDescent="0.25">
      <c r="B3" s="7"/>
      <c r="C3" s="7"/>
      <c r="D3" s="7"/>
      <c r="E3" s="7"/>
      <c r="F3" s="17"/>
      <c r="G3" s="239"/>
      <c r="H3" s="189"/>
      <c r="I3" s="17"/>
      <c r="J3" s="17"/>
      <c r="K3"/>
      <c r="P3" s="33"/>
    </row>
    <row r="4" spans="2:31" x14ac:dyDescent="0.25">
      <c r="B4" s="7"/>
      <c r="C4" s="1564" t="s">
        <v>159</v>
      </c>
      <c r="D4" s="150" t="s">
        <v>4</v>
      </c>
      <c r="E4" s="264" t="s">
        <v>141</v>
      </c>
      <c r="F4" s="150"/>
      <c r="G4" s="264"/>
      <c r="H4" s="271"/>
      <c r="I4" s="259"/>
      <c r="J4" s="189"/>
      <c r="K4"/>
      <c r="N4" s="33"/>
      <c r="O4" s="33"/>
      <c r="P4" s="33"/>
      <c r="AB4" s="7"/>
      <c r="AC4" s="7"/>
      <c r="AD4" s="785"/>
    </row>
    <row r="5" spans="2:31" x14ac:dyDescent="0.25">
      <c r="B5" s="7"/>
      <c r="C5" s="1565"/>
      <c r="D5" s="17" t="s">
        <v>130</v>
      </c>
      <c r="E5" s="17" t="s">
        <v>3</v>
      </c>
      <c r="F5" s="7"/>
      <c r="G5" s="17"/>
      <c r="H5" s="189"/>
      <c r="I5" s="239"/>
      <c r="J5" s="189"/>
      <c r="K5"/>
      <c r="N5" s="33"/>
      <c r="O5" s="33"/>
      <c r="P5" s="33"/>
      <c r="AB5" s="7"/>
      <c r="AC5" s="310"/>
      <c r="AD5" s="787"/>
    </row>
    <row r="6" spans="2:31" x14ac:dyDescent="0.25">
      <c r="B6" s="7"/>
      <c r="C6" s="1566"/>
      <c r="D6" s="257" t="s">
        <v>131</v>
      </c>
      <c r="E6" s="257" t="s">
        <v>2</v>
      </c>
      <c r="F6" s="245"/>
      <c r="G6" s="257"/>
      <c r="H6" s="272"/>
      <c r="I6" s="260"/>
      <c r="J6" s="189"/>
      <c r="K6"/>
      <c r="N6" s="33"/>
      <c r="O6" s="33"/>
      <c r="P6" s="33"/>
      <c r="AB6" s="7"/>
      <c r="AC6" s="7"/>
      <c r="AD6" s="785"/>
    </row>
    <row r="7" spans="2:31" ht="15.75" thickBot="1" x14ac:dyDescent="0.3">
      <c r="B7" s="7"/>
      <c r="C7" s="270"/>
      <c r="D7" s="17"/>
      <c r="E7" s="17"/>
      <c r="F7" s="7"/>
      <c r="G7" s="239"/>
      <c r="H7" s="189"/>
      <c r="I7" s="17"/>
      <c r="J7" s="189"/>
      <c r="K7"/>
      <c r="N7" s="33"/>
      <c r="O7" s="33"/>
      <c r="P7" s="33"/>
      <c r="AB7" s="7"/>
      <c r="AC7" s="7"/>
      <c r="AD7" s="785"/>
    </row>
    <row r="8" spans="2:31" x14ac:dyDescent="0.25">
      <c r="B8" s="7"/>
      <c r="C8" s="1567" t="s">
        <v>148</v>
      </c>
      <c r="D8" s="273" t="s">
        <v>160</v>
      </c>
      <c r="E8" s="276" t="s">
        <v>161</v>
      </c>
      <c r="F8" s="251" t="s">
        <v>162</v>
      </c>
      <c r="G8" s="251"/>
      <c r="H8" s="178"/>
      <c r="I8" s="17"/>
      <c r="J8" s="189"/>
      <c r="K8"/>
      <c r="N8" s="33"/>
      <c r="O8" s="33"/>
      <c r="P8" s="33"/>
      <c r="AB8" s="8"/>
      <c r="AC8" s="7"/>
      <c r="AD8" s="785"/>
    </row>
    <row r="9" spans="2:31" x14ac:dyDescent="0.25">
      <c r="B9" s="7"/>
      <c r="C9" s="1568"/>
      <c r="D9" s="17" t="s">
        <v>135</v>
      </c>
      <c r="E9" s="254">
        <v>2</v>
      </c>
      <c r="F9" s="17" t="s">
        <v>136</v>
      </c>
      <c r="G9" s="7"/>
      <c r="H9" s="277"/>
      <c r="I9" s="17"/>
      <c r="J9" s="189"/>
      <c r="K9"/>
      <c r="N9" s="33"/>
      <c r="O9" s="33"/>
      <c r="P9" s="33"/>
      <c r="AC9" s="7"/>
      <c r="AD9" s="785"/>
      <c r="AE9" s="785"/>
    </row>
    <row r="10" spans="2:31" x14ac:dyDescent="0.25">
      <c r="B10" s="7"/>
      <c r="C10" s="1568"/>
      <c r="D10" s="17" t="s">
        <v>5</v>
      </c>
      <c r="E10" s="788">
        <f>Q40/LN(EXP($G15/D40)+EXP($F15/D40))</f>
        <v>0.2</v>
      </c>
      <c r="F10" s="17" t="s">
        <v>139</v>
      </c>
      <c r="G10" s="7"/>
      <c r="H10" s="277"/>
      <c r="I10" s="17"/>
      <c r="J10" s="1674" t="s">
        <v>323</v>
      </c>
      <c r="K10" s="1674"/>
      <c r="L10" s="1674"/>
      <c r="N10" s="33"/>
      <c r="O10" s="33"/>
      <c r="P10" s="33"/>
      <c r="AC10" s="7"/>
      <c r="AD10" s="785"/>
      <c r="AE10" s="785"/>
    </row>
    <row r="11" spans="2:31" ht="15.75" thickBot="1" x14ac:dyDescent="0.3">
      <c r="B11" s="7"/>
      <c r="C11" s="1569"/>
      <c r="D11" s="166" t="s">
        <v>137</v>
      </c>
      <c r="E11" s="895">
        <f>E10*LN(E9)</f>
        <v>0.13862943611198905</v>
      </c>
      <c r="F11" s="166" t="s">
        <v>138</v>
      </c>
      <c r="G11" s="166"/>
      <c r="H11" s="179"/>
      <c r="I11" s="17"/>
      <c r="J11" s="896">
        <f>Q15-MIN(F15:G15)</f>
        <v>0.13862943611198997</v>
      </c>
      <c r="K11"/>
      <c r="N11" s="33"/>
      <c r="O11" s="33"/>
      <c r="P11" s="33"/>
      <c r="AC11" s="7"/>
      <c r="AD11" s="785"/>
      <c r="AE11" s="785"/>
    </row>
    <row r="12" spans="2:31" s="7" customFormat="1" ht="12.75" customHeight="1" thickBot="1" x14ac:dyDescent="0.3">
      <c r="D12"/>
      <c r="E12"/>
      <c r="F12" s="33"/>
      <c r="G12" s="239"/>
      <c r="H12" s="33"/>
      <c r="I12" s="33"/>
      <c r="J12" s="33"/>
      <c r="K12" s="33"/>
      <c r="L12"/>
      <c r="M12" s="8"/>
      <c r="R12" s="785"/>
      <c r="S12" s="785"/>
      <c r="T12" s="785"/>
      <c r="U12" s="785"/>
      <c r="V12" s="785"/>
      <c r="W12" s="785"/>
      <c r="X12" s="785"/>
      <c r="Y12" s="785"/>
    </row>
    <row r="13" spans="2:31" s="7" customFormat="1" ht="33" customHeight="1" thickBot="1" x14ac:dyDescent="0.3">
      <c r="E13"/>
      <c r="F13" s="432" t="s">
        <v>12</v>
      </c>
      <c r="G13" s="435"/>
      <c r="H13" s="245"/>
      <c r="I13" s="245"/>
      <c r="J13" s="245"/>
      <c r="K13" s="245"/>
      <c r="L13" s="245"/>
      <c r="M13" s="245"/>
      <c r="N13" s="432" t="s">
        <v>13</v>
      </c>
      <c r="O13" s="435"/>
      <c r="P13" s="789" t="s">
        <v>36</v>
      </c>
      <c r="Q13" s="790" t="s">
        <v>1</v>
      </c>
      <c r="R13" s="785"/>
      <c r="S13" s="785"/>
      <c r="T13" s="785"/>
      <c r="U13" s="785"/>
      <c r="V13" s="785" t="s">
        <v>324</v>
      </c>
      <c r="W13" s="785"/>
      <c r="X13" s="785"/>
      <c r="Y13" s="785"/>
      <c r="Z13" s="1589"/>
      <c r="AA13" s="1589"/>
    </row>
    <row r="14" spans="2:31" s="7" customFormat="1" ht="15.75" thickBot="1" x14ac:dyDescent="0.3">
      <c r="B14" s="1675" t="s">
        <v>325</v>
      </c>
      <c r="D14" s="7" t="s">
        <v>5</v>
      </c>
      <c r="E14" s="115" t="s">
        <v>45</v>
      </c>
      <c r="F14" s="247" t="s">
        <v>130</v>
      </c>
      <c r="G14" s="248" t="s">
        <v>131</v>
      </c>
      <c r="H14" s="13"/>
      <c r="I14" s="13"/>
      <c r="J14" s="13"/>
      <c r="K14" s="13"/>
      <c r="L14" s="13"/>
      <c r="M14" s="13"/>
      <c r="N14" s="247" t="s">
        <v>130</v>
      </c>
      <c r="O14" s="248" t="s">
        <v>131</v>
      </c>
      <c r="P14" s="791">
        <v>0</v>
      </c>
      <c r="Q14" s="792"/>
      <c r="R14" s="785" t="s">
        <v>326</v>
      </c>
      <c r="S14" s="1672" t="s">
        <v>327</v>
      </c>
      <c r="T14" s="1673"/>
      <c r="U14" s="785" t="s">
        <v>328</v>
      </c>
      <c r="V14" s="143" t="s">
        <v>329</v>
      </c>
      <c r="W14" s="785"/>
      <c r="X14" s="143" t="s">
        <v>330</v>
      </c>
      <c r="Y14" s="785" t="str">
        <f t="shared" ref="Y14:Y30" si="0">R14</f>
        <v>Pain</v>
      </c>
      <c r="AA14" s="8"/>
    </row>
    <row r="15" spans="2:31" s="7" customFormat="1" ht="18" customHeight="1" thickTop="1" x14ac:dyDescent="0.25">
      <c r="B15" s="1670"/>
      <c r="D15" s="883">
        <f>$E$10</f>
        <v>0.2</v>
      </c>
      <c r="E15" s="25">
        <v>1</v>
      </c>
      <c r="F15" s="316">
        <f t="shared" ref="F15:G30" si="1">F40</f>
        <v>5</v>
      </c>
      <c r="G15" s="794">
        <f>G40</f>
        <v>5</v>
      </c>
      <c r="N15" s="326">
        <f t="shared" ref="N15:O30" si="2">EXP(F15/$D15)/(EXP($G15/$D15)+EXP($F15/$D15))</f>
        <v>0.5</v>
      </c>
      <c r="O15" s="795">
        <f t="shared" si="2"/>
        <v>0.5</v>
      </c>
      <c r="P15" s="796">
        <f>D15*LN(EXP($G15/D15)+EXP($F15/D15))</f>
        <v>5.13862943611199</v>
      </c>
      <c r="Q15" s="797">
        <f>(P15-P14)</f>
        <v>5.13862943611199</v>
      </c>
      <c r="R15" s="798">
        <f t="shared" ref="R15:R30" si="3">SUM(N15:O15) - 1</f>
        <v>0</v>
      </c>
      <c r="S15" s="635">
        <f t="shared" ref="S15:T30" si="4">N15-($R15/2)</f>
        <v>0.5</v>
      </c>
      <c r="T15" s="636">
        <f t="shared" si="4"/>
        <v>0.5</v>
      </c>
      <c r="U15" s="785"/>
      <c r="V15" s="785"/>
      <c r="W15" s="785"/>
      <c r="X15" s="799">
        <f t="shared" ref="X15:X30" si="5">N15</f>
        <v>0.5</v>
      </c>
      <c r="Y15" s="785">
        <f t="shared" si="0"/>
        <v>0</v>
      </c>
    </row>
    <row r="16" spans="2:31" s="7" customFormat="1" x14ac:dyDescent="0.25">
      <c r="B16" s="1670"/>
      <c r="D16" s="7">
        <f t="shared" ref="D16:D30" si="6">$E$10</f>
        <v>0.2</v>
      </c>
      <c r="E16" s="25">
        <v>2</v>
      </c>
      <c r="F16" s="316">
        <f t="shared" si="1"/>
        <v>6.1374418089189895</v>
      </c>
      <c r="G16" s="794">
        <f>G41</f>
        <v>5</v>
      </c>
      <c r="N16" s="326">
        <f t="shared" si="2"/>
        <v>0.99662240835047589</v>
      </c>
      <c r="O16" s="795">
        <f t="shared" si="2"/>
        <v>3.3775916495240766E-3</v>
      </c>
      <c r="P16" s="796">
        <f t="shared" ref="P16:P30" si="7">D16*LN(EXP($G16/D16)+EXP($F16/D16))</f>
        <v>6.138118470636754</v>
      </c>
      <c r="Q16" s="410">
        <f t="shared" ref="Q16:Q30" si="8">(P16-P15)</f>
        <v>0.99948903452476401</v>
      </c>
      <c r="R16" s="798">
        <f t="shared" si="3"/>
        <v>0</v>
      </c>
      <c r="S16" s="635">
        <f t="shared" si="4"/>
        <v>0.99662240835047589</v>
      </c>
      <c r="T16" s="636">
        <f t="shared" si="4"/>
        <v>3.3775916495240766E-3</v>
      </c>
      <c r="U16" s="800">
        <f>S16-S15</f>
        <v>0.49662240835047589</v>
      </c>
      <c r="V16" s="801">
        <f t="shared" ref="V16:V30" si="9">U16/Q16</f>
        <v>0.49687629498267522</v>
      </c>
      <c r="W16" s="785"/>
      <c r="X16" s="799">
        <f t="shared" si="5"/>
        <v>0.99662240835047589</v>
      </c>
      <c r="Y16" s="785">
        <f t="shared" si="0"/>
        <v>0</v>
      </c>
    </row>
    <row r="17" spans="2:25" s="7" customFormat="1" x14ac:dyDescent="0.25">
      <c r="B17" s="1670"/>
      <c r="D17" s="7">
        <f t="shared" si="6"/>
        <v>0.2</v>
      </c>
      <c r="E17" s="25">
        <v>3</v>
      </c>
      <c r="F17" s="316">
        <f t="shared" si="1"/>
        <v>7.1387508752869095</v>
      </c>
      <c r="G17" s="794">
        <f t="shared" si="1"/>
        <v>5</v>
      </c>
      <c r="N17" s="326">
        <f t="shared" si="2"/>
        <v>0.99997731432891135</v>
      </c>
      <c r="O17" s="795">
        <f t="shared" si="2"/>
        <v>2.2685671088607188E-5</v>
      </c>
      <c r="P17" s="796">
        <f t="shared" si="7"/>
        <v>7.1387554124725927</v>
      </c>
      <c r="Q17" s="410">
        <f t="shared" si="8"/>
        <v>1.0006369418358387</v>
      </c>
      <c r="R17" s="798">
        <f t="shared" si="3"/>
        <v>0</v>
      </c>
      <c r="S17" s="635">
        <f t="shared" si="4"/>
        <v>0.99997731432891135</v>
      </c>
      <c r="T17" s="636">
        <f t="shared" si="4"/>
        <v>2.2685671088607188E-5</v>
      </c>
      <c r="U17" s="802">
        <f t="shared" ref="U17:U30" si="10">S17-S16</f>
        <v>3.3549059784354629E-3</v>
      </c>
      <c r="V17" s="803">
        <f t="shared" si="9"/>
        <v>3.3527704586643753E-3</v>
      </c>
      <c r="W17" s="785"/>
      <c r="X17" s="799">
        <f t="shared" si="5"/>
        <v>0.99997731432891135</v>
      </c>
      <c r="Y17" s="785">
        <f t="shared" si="0"/>
        <v>0</v>
      </c>
    </row>
    <row r="18" spans="2:25" s="7" customFormat="1" x14ac:dyDescent="0.25">
      <c r="B18" s="1670"/>
      <c r="D18" s="7">
        <f t="shared" si="6"/>
        <v>0.2</v>
      </c>
      <c r="E18" s="25">
        <v>4</v>
      </c>
      <c r="F18" s="316">
        <f t="shared" si="1"/>
        <v>8.1387871155222609</v>
      </c>
      <c r="G18" s="794">
        <f t="shared" si="1"/>
        <v>5</v>
      </c>
      <c r="N18" s="326">
        <f t="shared" si="2"/>
        <v>0.99999984716940182</v>
      </c>
      <c r="O18" s="795">
        <f t="shared" si="2"/>
        <v>1.528305981724045E-7</v>
      </c>
      <c r="P18" s="796">
        <f t="shared" si="7"/>
        <v>8.1387871460883812</v>
      </c>
      <c r="Q18" s="410">
        <f t="shared" si="8"/>
        <v>1.0000317336157885</v>
      </c>
      <c r="R18" s="798">
        <f t="shared" si="3"/>
        <v>0</v>
      </c>
      <c r="S18" s="635">
        <f t="shared" si="4"/>
        <v>0.99999984716940182</v>
      </c>
      <c r="T18" s="636">
        <f t="shared" si="4"/>
        <v>1.528305981724045E-7</v>
      </c>
      <c r="U18" s="804">
        <f t="shared" si="10"/>
        <v>2.2532840490474548E-5</v>
      </c>
      <c r="V18" s="805">
        <f t="shared" si="9"/>
        <v>2.2532125464662155E-5</v>
      </c>
      <c r="W18" s="785"/>
      <c r="X18" s="799">
        <f t="shared" si="5"/>
        <v>0.99999984716940182</v>
      </c>
      <c r="Y18" s="785">
        <f t="shared" si="0"/>
        <v>0</v>
      </c>
    </row>
    <row r="19" spans="2:25" s="7" customFormat="1" x14ac:dyDescent="0.25">
      <c r="B19" s="1670"/>
      <c r="D19" s="7">
        <f t="shared" si="6"/>
        <v>0.2</v>
      </c>
      <c r="E19" s="25">
        <v>5</v>
      </c>
      <c r="F19" s="316">
        <f t="shared" si="1"/>
        <v>20</v>
      </c>
      <c r="G19" s="794">
        <f t="shared" si="1"/>
        <v>20</v>
      </c>
      <c r="N19" s="326">
        <f t="shared" si="2"/>
        <v>0.5</v>
      </c>
      <c r="O19" s="795">
        <f t="shared" si="2"/>
        <v>0.5</v>
      </c>
      <c r="P19" s="796">
        <f t="shared" si="7"/>
        <v>20.138629436111991</v>
      </c>
      <c r="Q19" s="410">
        <f t="shared" si="8"/>
        <v>11.99984229002361</v>
      </c>
      <c r="R19" s="798">
        <f t="shared" si="3"/>
        <v>0</v>
      </c>
      <c r="S19" s="635">
        <f t="shared" si="4"/>
        <v>0.5</v>
      </c>
      <c r="T19" s="636">
        <f t="shared" si="4"/>
        <v>0.5</v>
      </c>
      <c r="U19" s="806">
        <f t="shared" si="10"/>
        <v>-0.49999984716940182</v>
      </c>
      <c r="V19" s="744">
        <f t="shared" si="9"/>
        <v>-4.1667201541897771E-2</v>
      </c>
      <c r="W19" s="785"/>
      <c r="X19" s="799">
        <f t="shared" si="5"/>
        <v>0.5</v>
      </c>
      <c r="Y19" s="785">
        <f t="shared" si="0"/>
        <v>0</v>
      </c>
    </row>
    <row r="20" spans="2:25" s="7" customFormat="1" x14ac:dyDescent="0.25">
      <c r="B20" s="1670"/>
      <c r="D20" s="7">
        <f t="shared" si="6"/>
        <v>0.2</v>
      </c>
      <c r="E20" s="25">
        <v>6</v>
      </c>
      <c r="F20" s="316">
        <f t="shared" si="1"/>
        <v>21.416872348803203</v>
      </c>
      <c r="G20" s="794">
        <f t="shared" si="1"/>
        <v>20</v>
      </c>
      <c r="N20" s="326">
        <f t="shared" si="2"/>
        <v>0.99916259229434723</v>
      </c>
      <c r="O20" s="795">
        <f t="shared" si="2"/>
        <v>8.3740770565281122E-4</v>
      </c>
      <c r="P20" s="796">
        <f t="shared" si="7"/>
        <v>21.417039900508673</v>
      </c>
      <c r="Q20" s="410">
        <f t="shared" si="8"/>
        <v>1.278410464396682</v>
      </c>
      <c r="R20" s="798">
        <f t="shared" si="3"/>
        <v>0</v>
      </c>
      <c r="S20" s="635">
        <f t="shared" si="4"/>
        <v>0.99916259229434723</v>
      </c>
      <c r="T20" s="636">
        <f t="shared" si="4"/>
        <v>8.3740770565281122E-4</v>
      </c>
      <c r="U20" s="800">
        <f t="shared" si="10"/>
        <v>0.49916259229434723</v>
      </c>
      <c r="V20" s="801">
        <f t="shared" si="9"/>
        <v>0.39045565269986754</v>
      </c>
      <c r="W20" s="785"/>
      <c r="X20" s="799">
        <f t="shared" si="5"/>
        <v>0.99916259229434723</v>
      </c>
      <c r="Y20" s="785">
        <f t="shared" si="0"/>
        <v>0</v>
      </c>
    </row>
    <row r="21" spans="2:25" s="7" customFormat="1" x14ac:dyDescent="0.25">
      <c r="B21" s="1670"/>
      <c r="D21" s="7">
        <f t="shared" si="6"/>
        <v>0.2</v>
      </c>
      <c r="E21" s="25">
        <v>7</v>
      </c>
      <c r="F21" s="316">
        <f t="shared" si="1"/>
        <v>22.511298494444045</v>
      </c>
      <c r="G21" s="794">
        <f t="shared" si="1"/>
        <v>20</v>
      </c>
      <c r="N21" s="326">
        <f t="shared" si="2"/>
        <v>0.99999647805087943</v>
      </c>
      <c r="O21" s="795">
        <f t="shared" si="2"/>
        <v>3.5219491205507666E-6</v>
      </c>
      <c r="P21" s="796">
        <f t="shared" si="7"/>
        <v>22.511299198835108</v>
      </c>
      <c r="Q21" s="410">
        <f t="shared" si="8"/>
        <v>1.0942592983264348</v>
      </c>
      <c r="R21" s="798">
        <f t="shared" si="3"/>
        <v>0</v>
      </c>
      <c r="S21" s="635">
        <f t="shared" si="4"/>
        <v>0.99999647805087943</v>
      </c>
      <c r="T21" s="636">
        <f t="shared" si="4"/>
        <v>3.5219491205507666E-6</v>
      </c>
      <c r="U21" s="802">
        <f t="shared" si="10"/>
        <v>8.3388575653220443E-4</v>
      </c>
      <c r="V21" s="803">
        <f t="shared" si="9"/>
        <v>7.6205498807051784E-4</v>
      </c>
      <c r="W21" s="785"/>
      <c r="X21" s="799">
        <f t="shared" si="5"/>
        <v>0.99999647805087943</v>
      </c>
      <c r="Y21" s="785">
        <f t="shared" si="0"/>
        <v>0</v>
      </c>
    </row>
    <row r="22" spans="2:25" s="7" customFormat="1" x14ac:dyDescent="0.25">
      <c r="B22" s="1670"/>
      <c r="D22" s="7">
        <f t="shared" si="6"/>
        <v>0.2</v>
      </c>
      <c r="E22" s="25">
        <v>8</v>
      </c>
      <c r="F22" s="316">
        <f t="shared" si="1"/>
        <v>23.539700618675166</v>
      </c>
      <c r="G22" s="794">
        <f t="shared" si="1"/>
        <v>20</v>
      </c>
      <c r="N22" s="326">
        <f t="shared" si="2"/>
        <v>0.99999997941088115</v>
      </c>
      <c r="O22" s="795">
        <f t="shared" si="2"/>
        <v>2.058911880683795E-8</v>
      </c>
      <c r="P22" s="796">
        <f t="shared" si="7"/>
        <v>23.539700622792989</v>
      </c>
      <c r="Q22" s="410">
        <f t="shared" si="8"/>
        <v>1.0284014239578809</v>
      </c>
      <c r="R22" s="798">
        <f t="shared" si="3"/>
        <v>0</v>
      </c>
      <c r="S22" s="635">
        <f t="shared" si="4"/>
        <v>0.99999997941088115</v>
      </c>
      <c r="T22" s="636">
        <f t="shared" si="4"/>
        <v>2.058911880683795E-8</v>
      </c>
      <c r="U22" s="804">
        <f t="shared" si="10"/>
        <v>3.5013600017119728E-6</v>
      </c>
      <c r="V22" s="805">
        <f t="shared" si="9"/>
        <v>3.4046627320261023E-6</v>
      </c>
      <c r="W22" s="785"/>
      <c r="X22" s="799">
        <f t="shared" si="5"/>
        <v>0.99999997941088115</v>
      </c>
      <c r="Y22" s="785">
        <f t="shared" si="0"/>
        <v>0</v>
      </c>
    </row>
    <row r="23" spans="2:25" s="7" customFormat="1" x14ac:dyDescent="0.25">
      <c r="B23" s="1670"/>
      <c r="D23" s="7">
        <f t="shared" si="6"/>
        <v>0.2</v>
      </c>
      <c r="E23" s="25">
        <v>9</v>
      </c>
      <c r="F23" s="316">
        <f t="shared" si="1"/>
        <v>47.079401237350332</v>
      </c>
      <c r="G23" s="794">
        <f t="shared" si="1"/>
        <v>40</v>
      </c>
      <c r="N23" s="326">
        <f t="shared" si="2"/>
        <v>0.99999999999999956</v>
      </c>
      <c r="O23" s="795">
        <f t="shared" si="2"/>
        <v>4.2391183069802982E-16</v>
      </c>
      <c r="P23" s="796">
        <f t="shared" si="7"/>
        <v>47.079401237350332</v>
      </c>
      <c r="Q23" s="410">
        <f t="shared" si="8"/>
        <v>23.539700614557344</v>
      </c>
      <c r="R23" s="798">
        <f t="shared" si="3"/>
        <v>0</v>
      </c>
      <c r="S23" s="635">
        <f t="shared" si="4"/>
        <v>0.99999999999999956</v>
      </c>
      <c r="T23" s="636">
        <f t="shared" si="4"/>
        <v>4.2391183069802982E-16</v>
      </c>
      <c r="U23" s="806">
        <f t="shared" si="10"/>
        <v>2.0589118410185847E-8</v>
      </c>
      <c r="V23" s="798">
        <f t="shared" si="9"/>
        <v>8.7465506666015934E-10</v>
      </c>
      <c r="W23" s="785"/>
      <c r="X23" s="799">
        <f t="shared" si="5"/>
        <v>0.99999999999999956</v>
      </c>
      <c r="Y23" s="785">
        <f t="shared" si="0"/>
        <v>0</v>
      </c>
    </row>
    <row r="24" spans="2:25" s="7" customFormat="1" x14ac:dyDescent="0.25">
      <c r="B24" s="1670"/>
      <c r="D24" s="7">
        <f t="shared" si="6"/>
        <v>0.2</v>
      </c>
      <c r="E24" s="25">
        <v>10</v>
      </c>
      <c r="F24" s="316">
        <f t="shared" si="1"/>
        <v>20</v>
      </c>
      <c r="G24" s="794">
        <f t="shared" si="1"/>
        <v>12</v>
      </c>
      <c r="N24" s="326">
        <f t="shared" si="2"/>
        <v>1</v>
      </c>
      <c r="O24" s="795">
        <f t="shared" si="2"/>
        <v>4.2483542552915889E-18</v>
      </c>
      <c r="P24" s="796">
        <f t="shared" si="7"/>
        <v>20</v>
      </c>
      <c r="Q24" s="410">
        <f t="shared" si="8"/>
        <v>-27.079401237350332</v>
      </c>
      <c r="R24" s="798">
        <f t="shared" si="3"/>
        <v>0</v>
      </c>
      <c r="S24" s="635">
        <f t="shared" si="4"/>
        <v>1</v>
      </c>
      <c r="T24" s="636">
        <f t="shared" si="4"/>
        <v>4.2483542552915889E-18</v>
      </c>
      <c r="U24" s="806">
        <f t="shared" si="10"/>
        <v>0</v>
      </c>
      <c r="V24" s="798">
        <f t="shared" si="9"/>
        <v>0</v>
      </c>
      <c r="W24" s="785"/>
      <c r="X24" s="799">
        <f t="shared" si="5"/>
        <v>1</v>
      </c>
      <c r="Y24" s="785">
        <f t="shared" si="0"/>
        <v>0</v>
      </c>
    </row>
    <row r="25" spans="2:25" s="7" customFormat="1" x14ac:dyDescent="0.25">
      <c r="B25" s="1670"/>
      <c r="D25" s="7">
        <f t="shared" si="6"/>
        <v>0.2</v>
      </c>
      <c r="E25" s="25">
        <v>11</v>
      </c>
      <c r="F25" s="316">
        <f t="shared" si="1"/>
        <v>30</v>
      </c>
      <c r="G25" s="794">
        <f t="shared" si="1"/>
        <v>31</v>
      </c>
      <c r="N25" s="326">
        <f t="shared" si="2"/>
        <v>6.6928509242848554E-3</v>
      </c>
      <c r="O25" s="795">
        <f t="shared" si="2"/>
        <v>0.99330714907571516</v>
      </c>
      <c r="P25" s="796">
        <f t="shared" si="7"/>
        <v>31.001343069697825</v>
      </c>
      <c r="Q25" s="410">
        <f t="shared" si="8"/>
        <v>11.001343069697825</v>
      </c>
      <c r="R25" s="798">
        <f t="shared" si="3"/>
        <v>0</v>
      </c>
      <c r="S25" s="635">
        <f t="shared" si="4"/>
        <v>6.6928509242848554E-3</v>
      </c>
      <c r="T25" s="636">
        <f t="shared" si="4"/>
        <v>0.99330714907571516</v>
      </c>
      <c r="U25" s="806">
        <f t="shared" si="10"/>
        <v>-0.99330714907571516</v>
      </c>
      <c r="V25" s="798">
        <f t="shared" si="9"/>
        <v>-9.0289625801388496E-2</v>
      </c>
      <c r="W25" s="785"/>
      <c r="X25" s="799">
        <f t="shared" si="5"/>
        <v>6.6928509242848554E-3</v>
      </c>
      <c r="Y25" s="785">
        <f t="shared" si="0"/>
        <v>0</v>
      </c>
    </row>
    <row r="26" spans="2:25" s="7" customFormat="1" x14ac:dyDescent="0.25">
      <c r="B26" s="1670"/>
      <c r="D26" s="7">
        <f t="shared" si="6"/>
        <v>0.2</v>
      </c>
      <c r="E26" s="25">
        <v>12</v>
      </c>
      <c r="F26" s="316">
        <f t="shared" si="1"/>
        <v>30</v>
      </c>
      <c r="G26" s="794">
        <f t="shared" si="1"/>
        <v>32</v>
      </c>
      <c r="N26" s="326">
        <f t="shared" si="2"/>
        <v>4.5397868702434395E-5</v>
      </c>
      <c r="O26" s="795">
        <f t="shared" si="2"/>
        <v>0.9999546021312975</v>
      </c>
      <c r="P26" s="796">
        <f t="shared" si="7"/>
        <v>32.000009079779844</v>
      </c>
      <c r="Q26" s="410">
        <f t="shared" si="8"/>
        <v>0.99866601008201883</v>
      </c>
      <c r="R26" s="798">
        <f t="shared" si="3"/>
        <v>0</v>
      </c>
      <c r="S26" s="635">
        <f t="shared" si="4"/>
        <v>4.5397868702434395E-5</v>
      </c>
      <c r="T26" s="636">
        <f t="shared" si="4"/>
        <v>0.9999546021312975</v>
      </c>
      <c r="U26" s="806">
        <f t="shared" si="10"/>
        <v>-6.6474530555824208E-3</v>
      </c>
      <c r="V26" s="798">
        <f t="shared" si="9"/>
        <v>-6.6563325360762763E-3</v>
      </c>
      <c r="W26" s="785"/>
      <c r="X26" s="799">
        <f t="shared" si="5"/>
        <v>4.5397868702434395E-5</v>
      </c>
      <c r="Y26" s="785">
        <f t="shared" si="0"/>
        <v>0</v>
      </c>
    </row>
    <row r="27" spans="2:25" s="7" customFormat="1" x14ac:dyDescent="0.25">
      <c r="B27" s="1670"/>
      <c r="D27" s="7">
        <f t="shared" si="6"/>
        <v>0.2</v>
      </c>
      <c r="E27" s="25">
        <v>13</v>
      </c>
      <c r="F27" s="316">
        <f t="shared" si="1"/>
        <v>30</v>
      </c>
      <c r="G27" s="794">
        <f t="shared" si="1"/>
        <v>33</v>
      </c>
      <c r="N27" s="326">
        <f t="shared" si="2"/>
        <v>3.0590222692562477E-7</v>
      </c>
      <c r="O27" s="795">
        <f t="shared" si="2"/>
        <v>0.99999969409777312</v>
      </c>
      <c r="P27" s="796">
        <f t="shared" si="7"/>
        <v>33.000000061180451</v>
      </c>
      <c r="Q27" s="410">
        <f t="shared" si="8"/>
        <v>0.99999098140060738</v>
      </c>
      <c r="R27" s="798">
        <f t="shared" si="3"/>
        <v>0</v>
      </c>
      <c r="S27" s="635">
        <f t="shared" si="4"/>
        <v>3.0590222692562477E-7</v>
      </c>
      <c r="T27" s="636">
        <f t="shared" si="4"/>
        <v>0.99999969409777312</v>
      </c>
      <c r="U27" s="806">
        <f t="shared" si="10"/>
        <v>-4.5091966475508767E-5</v>
      </c>
      <c r="V27" s="798">
        <f t="shared" si="9"/>
        <v>-4.509237314555783E-5</v>
      </c>
      <c r="W27" s="785"/>
      <c r="X27" s="799">
        <f t="shared" si="5"/>
        <v>3.0590222692562477E-7</v>
      </c>
      <c r="Y27" s="785">
        <f t="shared" si="0"/>
        <v>0</v>
      </c>
    </row>
    <row r="28" spans="2:25" s="7" customFormat="1" x14ac:dyDescent="0.25">
      <c r="B28" s="1670"/>
      <c r="D28" s="7">
        <f t="shared" si="6"/>
        <v>0.2</v>
      </c>
      <c r="E28" s="25">
        <v>14</v>
      </c>
      <c r="F28" s="316">
        <f t="shared" si="1"/>
        <v>20</v>
      </c>
      <c r="G28" s="794">
        <f t="shared" si="1"/>
        <v>20</v>
      </c>
      <c r="N28" s="326">
        <f t="shared" si="2"/>
        <v>0.5</v>
      </c>
      <c r="O28" s="795">
        <f t="shared" si="2"/>
        <v>0.5</v>
      </c>
      <c r="P28" s="796">
        <f t="shared" si="7"/>
        <v>20.138629436111991</v>
      </c>
      <c r="Q28" s="410">
        <f t="shared" si="8"/>
        <v>-12.86137062506846</v>
      </c>
      <c r="R28" s="798">
        <f t="shared" si="3"/>
        <v>0</v>
      </c>
      <c r="S28" s="635">
        <f t="shared" si="4"/>
        <v>0.5</v>
      </c>
      <c r="T28" s="636">
        <f t="shared" si="4"/>
        <v>0.5</v>
      </c>
      <c r="U28" s="806">
        <f t="shared" si="10"/>
        <v>0.49999969409777306</v>
      </c>
      <c r="V28" s="798">
        <f t="shared" si="9"/>
        <v>-3.8876081614754927E-2</v>
      </c>
      <c r="W28" s="785"/>
      <c r="X28" s="799">
        <f t="shared" si="5"/>
        <v>0.5</v>
      </c>
      <c r="Y28" s="785">
        <f t="shared" si="0"/>
        <v>0</v>
      </c>
    </row>
    <row r="29" spans="2:25" s="7" customFormat="1" x14ac:dyDescent="0.25">
      <c r="B29" s="1670"/>
      <c r="D29" s="7">
        <f t="shared" si="6"/>
        <v>0.2</v>
      </c>
      <c r="E29" s="25">
        <v>15</v>
      </c>
      <c r="F29" s="316">
        <f t="shared" si="1"/>
        <v>19</v>
      </c>
      <c r="G29" s="794">
        <f t="shared" si="1"/>
        <v>19</v>
      </c>
      <c r="N29" s="326">
        <f t="shared" si="2"/>
        <v>0.5</v>
      </c>
      <c r="O29" s="795">
        <f t="shared" si="2"/>
        <v>0.5</v>
      </c>
      <c r="P29" s="796">
        <f t="shared" si="7"/>
        <v>19.138629436111991</v>
      </c>
      <c r="Q29" s="410">
        <f t="shared" si="8"/>
        <v>-1</v>
      </c>
      <c r="R29" s="798">
        <f t="shared" si="3"/>
        <v>0</v>
      </c>
      <c r="S29" s="635">
        <f t="shared" si="4"/>
        <v>0.5</v>
      </c>
      <c r="T29" s="636">
        <f t="shared" si="4"/>
        <v>0.5</v>
      </c>
      <c r="U29" s="806">
        <f t="shared" si="10"/>
        <v>0</v>
      </c>
      <c r="V29" s="798">
        <f t="shared" si="9"/>
        <v>0</v>
      </c>
      <c r="W29" s="785"/>
      <c r="X29" s="799">
        <f t="shared" si="5"/>
        <v>0.5</v>
      </c>
      <c r="Y29" s="785">
        <f t="shared" si="0"/>
        <v>0</v>
      </c>
    </row>
    <row r="30" spans="2:25" s="7" customFormat="1" ht="15.75" thickBot="1" x14ac:dyDescent="0.3">
      <c r="B30" s="1670"/>
      <c r="D30" s="7">
        <f t="shared" si="6"/>
        <v>0.2</v>
      </c>
      <c r="E30" s="25">
        <v>16</v>
      </c>
      <c r="F30" s="318">
        <f t="shared" si="1"/>
        <v>20</v>
      </c>
      <c r="G30" s="807">
        <f t="shared" si="1"/>
        <v>20</v>
      </c>
      <c r="H30" s="13"/>
      <c r="I30" s="13"/>
      <c r="J30" s="13"/>
      <c r="K30" s="13"/>
      <c r="L30" s="13"/>
      <c r="M30" s="13"/>
      <c r="N30" s="328">
        <f t="shared" si="2"/>
        <v>0.5</v>
      </c>
      <c r="O30" s="808">
        <f t="shared" si="2"/>
        <v>0.5</v>
      </c>
      <c r="P30" s="791">
        <f t="shared" si="7"/>
        <v>20.138629436111991</v>
      </c>
      <c r="Q30" s="792">
        <f t="shared" si="8"/>
        <v>1</v>
      </c>
      <c r="R30" s="798">
        <f t="shared" si="3"/>
        <v>0</v>
      </c>
      <c r="S30" s="637">
        <f t="shared" si="4"/>
        <v>0.5</v>
      </c>
      <c r="T30" s="639">
        <f t="shared" si="4"/>
        <v>0.5</v>
      </c>
      <c r="U30" s="806">
        <f t="shared" si="10"/>
        <v>0</v>
      </c>
      <c r="V30" s="798">
        <f t="shared" si="9"/>
        <v>0</v>
      </c>
      <c r="W30" s="785"/>
      <c r="X30" s="799">
        <f t="shared" si="5"/>
        <v>0.5</v>
      </c>
      <c r="Y30" s="785">
        <f t="shared" si="0"/>
        <v>0</v>
      </c>
    </row>
    <row r="31" spans="2:25" s="7" customFormat="1" ht="16.5" thickTop="1" thickBot="1" x14ac:dyDescent="0.3">
      <c r="B31" s="1671"/>
      <c r="E31" s="25" t="s">
        <v>97</v>
      </c>
      <c r="F31" s="320">
        <f>F56</f>
        <v>9</v>
      </c>
      <c r="G31" s="809">
        <f>G56</f>
        <v>9</v>
      </c>
      <c r="H31" s="810"/>
      <c r="I31" s="245"/>
      <c r="J31" s="245"/>
      <c r="K31" s="245"/>
      <c r="L31" s="245"/>
      <c r="M31" s="245"/>
      <c r="N31" s="469">
        <v>0</v>
      </c>
      <c r="O31" s="471">
        <v>1</v>
      </c>
      <c r="P31" s="811">
        <f>$E$10*LN(EXP($G31/$E$10)+EXP($F31/$E$10))</f>
        <v>9.1386294361119891</v>
      </c>
      <c r="Q31" s="143" t="s">
        <v>128</v>
      </c>
      <c r="R31" s="785"/>
    </row>
    <row r="32" spans="2:25" s="7" customFormat="1" x14ac:dyDescent="0.25">
      <c r="E32"/>
      <c r="F32" s="251"/>
      <c r="G32" s="251"/>
      <c r="N32" s="17"/>
      <c r="O32" s="33"/>
      <c r="P32" s="812">
        <f>SUMPRODUCT(N31:O31,F31:G31)</f>
        <v>9</v>
      </c>
      <c r="Q32" t="s">
        <v>109</v>
      </c>
      <c r="R32" s="785"/>
    </row>
    <row r="33" spans="1:54" s="7" customFormat="1" x14ac:dyDescent="0.25">
      <c r="F33" s="17"/>
      <c r="G33" s="17"/>
      <c r="N33" s="17"/>
      <c r="O33" s="17"/>
      <c r="P33" s="813">
        <f>P31-P32</f>
        <v>0.13862943611198908</v>
      </c>
      <c r="Q33" s="7" t="s">
        <v>102</v>
      </c>
      <c r="R33" s="785"/>
    </row>
    <row r="34" spans="1:54" s="7" customFormat="1" x14ac:dyDescent="0.25">
      <c r="F34" s="17"/>
      <c r="G34" s="17"/>
      <c r="H34" s="17"/>
      <c r="I34" s="17"/>
      <c r="J34" s="194"/>
      <c r="K34" s="54"/>
      <c r="L34" s="28"/>
      <c r="R34" s="785"/>
    </row>
    <row r="35" spans="1:54" x14ac:dyDescent="0.25">
      <c r="C35" s="7"/>
      <c r="D35" s="7"/>
      <c r="F35" s="17"/>
      <c r="G35" s="17"/>
      <c r="H35" s="17"/>
    </row>
    <row r="36" spans="1:54" x14ac:dyDescent="0.25">
      <c r="C36" s="7"/>
      <c r="D36" s="7"/>
      <c r="E36" s="7"/>
      <c r="F36" s="17"/>
      <c r="G36" s="17"/>
      <c r="H36" s="17"/>
      <c r="I36" s="17"/>
      <c r="J36" s="17"/>
      <c r="K36" s="17"/>
      <c r="L36" s="7"/>
      <c r="M36" s="7"/>
      <c r="S36" s="833"/>
    </row>
    <row r="37" spans="1:54" s="33" customFormat="1" ht="15.75" thickBot="1" x14ac:dyDescent="0.3">
      <c r="A37"/>
      <c r="B37"/>
      <c r="C37" s="7"/>
      <c r="D37" s="7"/>
      <c r="E37" s="7"/>
      <c r="F37" s="7"/>
      <c r="G37" s="7"/>
      <c r="H37" s="7"/>
      <c r="I37" s="7"/>
      <c r="J37" s="7"/>
      <c r="K37" s="7"/>
      <c r="L37" s="7"/>
      <c r="M37" s="7"/>
      <c r="N37" s="7"/>
      <c r="O37" s="7"/>
      <c r="P37" s="7"/>
      <c r="Q37" s="7"/>
      <c r="R37" s="785"/>
      <c r="S37" s="785"/>
      <c r="T37" s="785"/>
      <c r="U37" s="785"/>
      <c r="V37" s="785"/>
      <c r="W37" s="785"/>
      <c r="X37" s="785"/>
      <c r="Y37" s="785"/>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row>
    <row r="38" spans="1:54" s="33" customFormat="1" ht="15.75" customHeight="1" thickBot="1" x14ac:dyDescent="0.3">
      <c r="A38"/>
      <c r="B38"/>
      <c r="C38" s="7">
        <v>0.2</v>
      </c>
      <c r="D38" s="7"/>
      <c r="E38"/>
      <c r="F38" s="432" t="s">
        <v>12</v>
      </c>
      <c r="G38" s="435"/>
      <c r="H38" s="424"/>
      <c r="I38" s="424"/>
      <c r="J38" s="424"/>
      <c r="K38" s="814"/>
      <c r="L38" s="814"/>
      <c r="M38" s="814"/>
      <c r="N38" s="432" t="s">
        <v>13</v>
      </c>
      <c r="O38" s="424"/>
      <c r="P38" s="435" t="s">
        <v>36</v>
      </c>
      <c r="Q38" s="815" t="s">
        <v>35</v>
      </c>
      <c r="R38" s="785"/>
      <c r="S38" s="785"/>
      <c r="T38" s="785"/>
      <c r="U38" s="785"/>
      <c r="V38" s="785" t="s">
        <v>324</v>
      </c>
      <c r="W38" s="785"/>
      <c r="X38" s="785"/>
      <c r="Y38" s="785"/>
      <c r="Z38" s="1589"/>
      <c r="AA38" s="1589"/>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row>
    <row r="39" spans="1:54" s="33" customFormat="1" ht="15.75" thickBot="1" x14ac:dyDescent="0.3">
      <c r="A39"/>
      <c r="B39" s="1669" t="s">
        <v>331</v>
      </c>
      <c r="C39" s="7" t="s">
        <v>4</v>
      </c>
      <c r="D39" s="7" t="s">
        <v>332</v>
      </c>
      <c r="E39" s="877" t="s">
        <v>45</v>
      </c>
      <c r="F39" s="453" t="s">
        <v>130</v>
      </c>
      <c r="G39" s="826" t="s">
        <v>131</v>
      </c>
      <c r="H39" s="143" t="s">
        <v>333</v>
      </c>
      <c r="I39" s="816" t="s">
        <v>334</v>
      </c>
      <c r="J39" s="816" t="s">
        <v>335</v>
      </c>
      <c r="K39" s="816" t="s">
        <v>336</v>
      </c>
      <c r="L39" s="816" t="s">
        <v>337</v>
      </c>
      <c r="M39" s="816" t="s">
        <v>338</v>
      </c>
      <c r="N39" s="247" t="s">
        <v>130</v>
      </c>
      <c r="O39" s="173" t="s">
        <v>131</v>
      </c>
      <c r="P39" s="817">
        <v>0</v>
      </c>
      <c r="Q39" s="818"/>
      <c r="R39" s="785" t="s">
        <v>326</v>
      </c>
      <c r="S39" s="1672" t="s">
        <v>455</v>
      </c>
      <c r="T39" s="1673"/>
      <c r="U39" s="785" t="s">
        <v>328</v>
      </c>
      <c r="V39" s="143" t="s">
        <v>329</v>
      </c>
      <c r="W39" s="785"/>
      <c r="X39" s="143" t="s">
        <v>330</v>
      </c>
      <c r="Y39" s="785" t="s">
        <v>390</v>
      </c>
      <c r="Z39" s="143" t="s">
        <v>388</v>
      </c>
      <c r="AA39" s="143" t="s">
        <v>389</v>
      </c>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row>
    <row r="40" spans="1:54" s="33" customFormat="1" ht="16.5" thickTop="1" thickBot="1" x14ac:dyDescent="0.3">
      <c r="A40"/>
      <c r="B40" s="1670"/>
      <c r="C40" s="878">
        <v>0.02</v>
      </c>
      <c r="D40" s="879">
        <f>$C$40*H40</f>
        <v>0.2</v>
      </c>
      <c r="E40" s="880">
        <v>1</v>
      </c>
      <c r="F40" s="881">
        <v>5</v>
      </c>
      <c r="G40" s="882">
        <v>5</v>
      </c>
      <c r="H40" s="884">
        <f>SUM(F40:G40)</f>
        <v>10</v>
      </c>
      <c r="I40" s="143">
        <f>F40/D40</f>
        <v>25</v>
      </c>
      <c r="J40" s="143">
        <f t="shared" ref="J40:J56" si="11">G40/D40</f>
        <v>25</v>
      </c>
      <c r="K40" s="143">
        <f>EXP(I40)</f>
        <v>72004899337.38588</v>
      </c>
      <c r="L40" s="143">
        <f t="shared" ref="K40:L56" si="12">EXP(J40)</f>
        <v>72004899337.38588</v>
      </c>
      <c r="M40" s="143">
        <f>SUM(K40:L40)</f>
        <v>144009798674.77176</v>
      </c>
      <c r="N40" s="820">
        <f>( $C$40*LN($M40) ) + (($H40*K40) - SUMPRODUCT($F40:$G40,$K40:$L40))/($H40* $M40)</f>
        <v>0.513862943611199</v>
      </c>
      <c r="O40" s="821">
        <f t="shared" ref="N40:O55" si="13">( $C$40*LN($M40) ) + (($H40*L40) - SUMPRODUCT($F40:$G40,$K40:$L40))/($H40* $M40)</f>
        <v>0.513862943611199</v>
      </c>
      <c r="P40" s="822">
        <f t="shared" ref="P40:P56" si="14">$D40*LN(EXP($G40/$D40)+EXP($F40/$D40))</f>
        <v>5.13862943611199</v>
      </c>
      <c r="Q40" s="797">
        <f t="shared" ref="Q40:Q55" si="15">(P40-P39)</f>
        <v>5.13862943611199</v>
      </c>
      <c r="R40" s="798">
        <f>SUM(N40:O40) - 1</f>
        <v>2.7725887222397994E-2</v>
      </c>
      <c r="S40" s="635">
        <f t="shared" ref="S40:T55" si="16">N40-($R40/2)</f>
        <v>0.5</v>
      </c>
      <c r="T40" s="636">
        <f t="shared" si="16"/>
        <v>0.5</v>
      </c>
      <c r="U40" s="785"/>
      <c r="V40" s="785"/>
      <c r="W40" s="785"/>
      <c r="X40" s="885">
        <f t="shared" ref="X40:X55" si="17">N40</f>
        <v>0.513862943611199</v>
      </c>
      <c r="Y40" s="887">
        <f>R40</f>
        <v>2.7725887222397994E-2</v>
      </c>
      <c r="Z40" s="187">
        <f>S40</f>
        <v>0.5</v>
      </c>
      <c r="AA40" s="619">
        <f>Z40*( 1+($C$65*2)) + (Z40^2)*(-($C$65*2))</f>
        <v>0.513862943611199</v>
      </c>
      <c r="AB40" s="120">
        <f>AA40/X40</f>
        <v>1</v>
      </c>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row>
    <row r="41" spans="1:54" x14ac:dyDescent="0.25">
      <c r="B41" s="1670"/>
      <c r="C41" s="148">
        <v>0.05</v>
      </c>
      <c r="D41" s="7">
        <f>$C$40*H41</f>
        <v>0.22274883617837979</v>
      </c>
      <c r="E41" s="25">
        <v>2</v>
      </c>
      <c r="F41" s="316">
        <v>6.1374418089189895</v>
      </c>
      <c r="G41" s="794">
        <f>G40</f>
        <v>5</v>
      </c>
      <c r="H41" s="143">
        <f t="shared" ref="H41:H56" si="18">SUM(F41:G41)</f>
        <v>11.137441808918989</v>
      </c>
      <c r="I41" s="143">
        <f t="shared" ref="I41:I56" si="19">F41/D41</f>
        <v>27.553193606830146</v>
      </c>
      <c r="J41" s="143">
        <f t="shared" si="11"/>
        <v>22.446806393169854</v>
      </c>
      <c r="K41" s="143">
        <f t="shared" si="12"/>
        <v>925123988252.49512</v>
      </c>
      <c r="L41" s="143">
        <f t="shared" si="12"/>
        <v>5604335845.1667404</v>
      </c>
      <c r="M41" s="143">
        <f t="shared" ref="M41:M56" si="20">SUM(K41:L41)</f>
        <v>930728324097.66187</v>
      </c>
      <c r="N41" s="820">
        <f>( $C$40*LN($M41) ) + (($H41*K41) - SUMPRODUCT($F41:$G41,$K41:$L41))/($H41* $M41)</f>
        <v>0.99471429846963599</v>
      </c>
      <c r="O41" s="821">
        <f t="shared" si="13"/>
        <v>6.7572022903619189E-3</v>
      </c>
      <c r="P41" s="822">
        <f t="shared" si="14"/>
        <v>6.1387871348088758</v>
      </c>
      <c r="Q41" s="823">
        <f t="shared" si="15"/>
        <v>1.0001576986968859</v>
      </c>
      <c r="R41" s="798">
        <f t="shared" ref="R41:R55" si="21">SUM(N41:O41) - 1</f>
        <v>1.4715007599979124E-3</v>
      </c>
      <c r="S41" s="635">
        <f>N41-($R41/2)</f>
        <v>0.99397854808963704</v>
      </c>
      <c r="T41" s="636">
        <f t="shared" si="16"/>
        <v>6.0214519103629627E-3</v>
      </c>
      <c r="U41" s="800">
        <f>S41-S40</f>
        <v>0.49397854808963704</v>
      </c>
      <c r="V41" s="801">
        <f t="shared" ref="V41:V55" si="22">U41/Q41</f>
        <v>0.49390066059906951</v>
      </c>
      <c r="W41" s="785"/>
      <c r="X41" s="885">
        <f t="shared" si="17"/>
        <v>0.99471429846963599</v>
      </c>
      <c r="Y41" s="887">
        <f t="shared" ref="Y41:Y55" si="23">R41</f>
        <v>1.4715007599979124E-3</v>
      </c>
      <c r="Z41" s="187">
        <f t="shared" ref="Z41:Z55" si="24">S41</f>
        <v>0.99397854808963704</v>
      </c>
      <c r="AA41" s="619">
        <f t="shared" ref="AA41:AA55" si="25">Z41*( 1+($C$65*2)) + (Z41^2)*(-($C$65*2))</f>
        <v>0.99431043771884453</v>
      </c>
      <c r="AB41" s="120">
        <f t="shared" ref="AB41:AB53" si="26">AA41/X41</f>
        <v>0.99959399321854248</v>
      </c>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row>
    <row r="42" spans="1:54" x14ac:dyDescent="0.25">
      <c r="B42" s="1670"/>
      <c r="C42" s="7"/>
      <c r="D42" s="7">
        <f t="shared" ref="D42:D56" si="27">$C$40*H42</f>
        <v>0.24277501750573818</v>
      </c>
      <c r="E42" s="25">
        <v>3</v>
      </c>
      <c r="F42" s="316">
        <v>7.1387508752869095</v>
      </c>
      <c r="G42" s="794">
        <v>5</v>
      </c>
      <c r="H42" s="143">
        <f t="shared" si="18"/>
        <v>12.13875087528691</v>
      </c>
      <c r="I42" s="143">
        <f t="shared" si="19"/>
        <v>29.404800166961905</v>
      </c>
      <c r="J42" s="143">
        <f t="shared" si="11"/>
        <v>20.595199833038098</v>
      </c>
      <c r="K42" s="143">
        <f t="shared" si="12"/>
        <v>5893081590196.2988</v>
      </c>
      <c r="L42" s="143">
        <f t="shared" si="12"/>
        <v>879795307.29938328</v>
      </c>
      <c r="M42" s="143">
        <f t="shared" si="20"/>
        <v>5893961385503.5986</v>
      </c>
      <c r="N42" s="820">
        <f>( $C$40*LN($M42) ) + (($H42*K42) - SUMPRODUCT($F42:$G42,$K42:$L42))/($H42* $M42)</f>
        <v>0.99988001530026538</v>
      </c>
      <c r="O42" s="821">
        <f t="shared" si="13"/>
        <v>1.7855655283038896E-4</v>
      </c>
      <c r="P42" s="822">
        <f>$D42*LN(EXP($G42/$D42)+EXP($F42/$D42))</f>
        <v>7.1387871171708106</v>
      </c>
      <c r="Q42" s="824">
        <f t="shared" si="15"/>
        <v>0.99999998236193477</v>
      </c>
      <c r="R42" s="798">
        <f t="shared" si="21"/>
        <v>5.8571853095656934E-5</v>
      </c>
      <c r="S42" s="635">
        <f t="shared" si="16"/>
        <v>0.99985072937371755</v>
      </c>
      <c r="T42" s="636">
        <f t="shared" si="16"/>
        <v>1.4927062628256049E-4</v>
      </c>
      <c r="U42" s="802">
        <f>S42-S41</f>
        <v>5.8721812840805132E-3</v>
      </c>
      <c r="V42" s="803">
        <f t="shared" si="22"/>
        <v>5.8721813876544317E-3</v>
      </c>
      <c r="W42" s="785"/>
      <c r="X42" s="885">
        <f>N42</f>
        <v>0.99988001530026538</v>
      </c>
      <c r="Y42" s="887">
        <f>R42</f>
        <v>5.8571853095656934E-5</v>
      </c>
      <c r="Z42" s="187">
        <f t="shared" si="24"/>
        <v>0.99985072937371755</v>
      </c>
      <c r="AA42" s="619">
        <f t="shared" si="25"/>
        <v>0.99985900545925643</v>
      </c>
      <c r="AB42" s="120">
        <f t="shared" si="26"/>
        <v>0.99997898763782911</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row>
    <row r="43" spans="1:54" x14ac:dyDescent="0.25">
      <c r="B43" s="1670"/>
      <c r="C43" s="7"/>
      <c r="D43" s="7">
        <f t="shared" si="27"/>
        <v>0.2627757423104452</v>
      </c>
      <c r="E43" s="25">
        <v>4</v>
      </c>
      <c r="F43" s="316">
        <v>8.1387871155222609</v>
      </c>
      <c r="G43" s="794">
        <v>5</v>
      </c>
      <c r="H43" s="143">
        <f t="shared" si="18"/>
        <v>13.138787115522261</v>
      </c>
      <c r="I43" s="143">
        <f t="shared" si="19"/>
        <v>30.972368468878827</v>
      </c>
      <c r="J43" s="143">
        <f t="shared" si="11"/>
        <v>19.027631531121177</v>
      </c>
      <c r="K43" s="143">
        <f t="shared" si="12"/>
        <v>28257173454473.52</v>
      </c>
      <c r="L43" s="143">
        <f t="shared" si="12"/>
        <v>183482807.89444202</v>
      </c>
      <c r="M43" s="143">
        <f t="shared" si="20"/>
        <v>28257356937281.414</v>
      </c>
      <c r="N43" s="820">
        <f t="shared" si="13"/>
        <v>0.99999518779967045</v>
      </c>
      <c r="O43" s="821">
        <f t="shared" si="13"/>
        <v>8.1743509818821281E-6</v>
      </c>
      <c r="P43" s="822">
        <f t="shared" si="14"/>
        <v>8.1387888218031303</v>
      </c>
      <c r="Q43" s="825">
        <f t="shared" si="15"/>
        <v>1.0000017046323197</v>
      </c>
      <c r="R43" s="798">
        <f t="shared" si="21"/>
        <v>3.3621506523306977E-6</v>
      </c>
      <c r="S43" s="635">
        <f t="shared" si="16"/>
        <v>0.99999350672434428</v>
      </c>
      <c r="T43" s="636">
        <f t="shared" si="16"/>
        <v>6.4932756557167792E-6</v>
      </c>
      <c r="U43" s="804">
        <f t="shared" ref="U43:U55" si="28">S43-S42</f>
        <v>1.4277735062673269E-4</v>
      </c>
      <c r="V43" s="805">
        <f t="shared" si="22"/>
        <v>1.4277710724426115E-4</v>
      </c>
      <c r="W43" s="785"/>
      <c r="X43" s="885">
        <f t="shared" si="17"/>
        <v>0.99999518779967045</v>
      </c>
      <c r="Y43" s="887">
        <f t="shared" si="23"/>
        <v>3.3621506523306977E-6</v>
      </c>
      <c r="Z43" s="187">
        <f t="shared" si="24"/>
        <v>0.99999350672434428</v>
      </c>
      <c r="AA43" s="619">
        <f t="shared" si="25"/>
        <v>0.99999386678566338</v>
      </c>
      <c r="AB43" s="120">
        <f t="shared" si="26"/>
        <v>0.9999986789796359</v>
      </c>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row>
    <row r="44" spans="1:54" x14ac:dyDescent="0.25">
      <c r="B44" s="1670"/>
      <c r="C44" s="7"/>
      <c r="D44" s="7">
        <f t="shared" si="27"/>
        <v>0.8</v>
      </c>
      <c r="E44" s="25">
        <v>5</v>
      </c>
      <c r="F44" s="316">
        <v>20</v>
      </c>
      <c r="G44" s="794">
        <v>20</v>
      </c>
      <c r="H44" s="143">
        <f t="shared" si="18"/>
        <v>40</v>
      </c>
      <c r="I44" s="143">
        <f t="shared" si="19"/>
        <v>25</v>
      </c>
      <c r="J44" s="143">
        <f t="shared" si="11"/>
        <v>25</v>
      </c>
      <c r="K44" s="143">
        <f t="shared" si="12"/>
        <v>72004899337.38588</v>
      </c>
      <c r="L44" s="143">
        <f t="shared" si="12"/>
        <v>72004899337.38588</v>
      </c>
      <c r="M44" s="143">
        <f t="shared" si="20"/>
        <v>144009798674.77176</v>
      </c>
      <c r="N44" s="820">
        <f t="shared" si="13"/>
        <v>0.513862943611199</v>
      </c>
      <c r="O44" s="821">
        <f t="shared" si="13"/>
        <v>0.513862943611199</v>
      </c>
      <c r="P44" s="822">
        <f t="shared" si="14"/>
        <v>20.55451774444796</v>
      </c>
      <c r="Q44" s="410">
        <f t="shared" si="15"/>
        <v>12.41572892264483</v>
      </c>
      <c r="R44" s="798">
        <f t="shared" si="21"/>
        <v>2.7725887222397994E-2</v>
      </c>
      <c r="S44" s="635">
        <f t="shared" si="16"/>
        <v>0.5</v>
      </c>
      <c r="T44" s="636">
        <f t="shared" si="16"/>
        <v>0.5</v>
      </c>
      <c r="U44" s="806">
        <f t="shared" si="28"/>
        <v>-0.49999350672434428</v>
      </c>
      <c r="V44" s="744">
        <f t="shared" si="22"/>
        <v>-4.0270974812635842E-2</v>
      </c>
      <c r="W44" s="785"/>
      <c r="X44" s="885">
        <f t="shared" si="17"/>
        <v>0.513862943611199</v>
      </c>
      <c r="Y44" s="887">
        <f t="shared" si="23"/>
        <v>2.7725887222397994E-2</v>
      </c>
      <c r="Z44" s="187">
        <f t="shared" si="24"/>
        <v>0.5</v>
      </c>
      <c r="AA44" s="619">
        <f t="shared" si="25"/>
        <v>0.513862943611199</v>
      </c>
      <c r="AB44" s="120">
        <f t="shared" si="26"/>
        <v>1</v>
      </c>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row>
    <row r="45" spans="1:54" x14ac:dyDescent="0.25">
      <c r="B45" s="1670"/>
      <c r="C45" s="7"/>
      <c r="D45" s="7">
        <f t="shared" si="27"/>
        <v>0.82833744697606404</v>
      </c>
      <c r="E45" s="25">
        <v>6</v>
      </c>
      <c r="F45" s="316">
        <v>21.416872348803203</v>
      </c>
      <c r="G45" s="794">
        <v>20</v>
      </c>
      <c r="H45" s="143">
        <f t="shared" si="18"/>
        <v>41.416872348803203</v>
      </c>
      <c r="I45" s="143">
        <f t="shared" si="19"/>
        <v>25.855250691596552</v>
      </c>
      <c r="J45" s="143">
        <f t="shared" si="11"/>
        <v>24.144749308403448</v>
      </c>
      <c r="K45" s="143">
        <f t="shared" si="12"/>
        <v>169352925611.95059</v>
      </c>
      <c r="L45" s="143">
        <f t="shared" si="12"/>
        <v>30614797529.197258</v>
      </c>
      <c r="M45" s="143">
        <f t="shared" si="20"/>
        <v>199967723141.14786</v>
      </c>
      <c r="N45" s="820">
        <f t="shared" si="13"/>
        <v>0.85546223752464423</v>
      </c>
      <c r="O45" s="821">
        <f t="shared" si="13"/>
        <v>0.1616596282664261</v>
      </c>
      <c r="P45" s="822">
        <f t="shared" si="14"/>
        <v>21.554518105615394</v>
      </c>
      <c r="Q45" s="823">
        <f>(P45-P44)</f>
        <v>1.0000003611674337</v>
      </c>
      <c r="R45" s="798">
        <f t="shared" si="21"/>
        <v>1.7121865791070334E-2</v>
      </c>
      <c r="S45" s="635">
        <f t="shared" si="16"/>
        <v>0.84690130462910906</v>
      </c>
      <c r="T45" s="636">
        <f t="shared" si="16"/>
        <v>0.15309869537089094</v>
      </c>
      <c r="U45" s="800">
        <f t="shared" si="28"/>
        <v>0.34690130462910906</v>
      </c>
      <c r="V45" s="801">
        <f t="shared" si="22"/>
        <v>0.34690117933970038</v>
      </c>
      <c r="W45" s="785"/>
      <c r="X45" s="885">
        <f t="shared" si="17"/>
        <v>0.85546223752464423</v>
      </c>
      <c r="Y45" s="887">
        <f t="shared" si="23"/>
        <v>1.7121865791070334E-2</v>
      </c>
      <c r="Z45" s="187">
        <f t="shared" si="24"/>
        <v>0.84690130462910906</v>
      </c>
      <c r="AA45" s="619">
        <f t="shared" si="25"/>
        <v>0.85409115313745243</v>
      </c>
      <c r="AB45" s="120">
        <f t="shared" si="26"/>
        <v>0.9983972590173481</v>
      </c>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row>
    <row r="46" spans="1:54" x14ac:dyDescent="0.25">
      <c r="B46" s="1670"/>
      <c r="C46" s="7"/>
      <c r="D46" s="7">
        <f t="shared" si="27"/>
        <v>0.85022596988888099</v>
      </c>
      <c r="E46" s="25">
        <v>7</v>
      </c>
      <c r="F46" s="316">
        <v>22.511298494444045</v>
      </c>
      <c r="G46" s="794">
        <v>20</v>
      </c>
      <c r="H46" s="143">
        <f t="shared" si="18"/>
        <v>42.511298494444048</v>
      </c>
      <c r="I46" s="143">
        <f t="shared" si="19"/>
        <v>26.476841794642105</v>
      </c>
      <c r="J46" s="143">
        <f t="shared" si="11"/>
        <v>23.523158205357888</v>
      </c>
      <c r="K46" s="143">
        <f t="shared" si="12"/>
        <v>315316204044.28589</v>
      </c>
      <c r="L46" s="143">
        <f t="shared" si="12"/>
        <v>16442876902.89094</v>
      </c>
      <c r="M46" s="143">
        <f t="shared" si="20"/>
        <v>331759080947.17682</v>
      </c>
      <c r="N46" s="820">
        <f t="shared" si="13"/>
        <v>0.95438180930828986</v>
      </c>
      <c r="O46" s="821">
        <f t="shared" si="13"/>
        <v>5.3507215949436304E-2</v>
      </c>
      <c r="P46" s="822">
        <f t="shared" si="14"/>
        <v>22.554518105995218</v>
      </c>
      <c r="Q46" s="824">
        <f>(P46-P45)</f>
        <v>1.0000000003798242</v>
      </c>
      <c r="R46" s="798">
        <f t="shared" si="21"/>
        <v>7.8890252577261677E-3</v>
      </c>
      <c r="S46" s="635">
        <f t="shared" si="16"/>
        <v>0.95043729667942678</v>
      </c>
      <c r="T46" s="636">
        <f t="shared" si="16"/>
        <v>4.956270332057322E-2</v>
      </c>
      <c r="U46" s="802">
        <f t="shared" si="28"/>
        <v>0.10353599205031772</v>
      </c>
      <c r="V46" s="803">
        <f t="shared" si="22"/>
        <v>0.10353599201099224</v>
      </c>
      <c r="W46" s="785"/>
      <c r="X46" s="885">
        <f t="shared" si="17"/>
        <v>0.95438180930828986</v>
      </c>
      <c r="Y46" s="887">
        <f t="shared" si="23"/>
        <v>7.8890252577261677E-3</v>
      </c>
      <c r="Z46" s="187">
        <f t="shared" si="24"/>
        <v>0.95043729667942678</v>
      </c>
      <c r="AA46" s="619">
        <f t="shared" si="25"/>
        <v>0.95304942137245163</v>
      </c>
      <c r="AB46" s="120">
        <f t="shared" si="26"/>
        <v>0.99860392567959366</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row>
    <row r="47" spans="1:54" x14ac:dyDescent="0.25">
      <c r="B47" s="1670"/>
      <c r="C47" s="7"/>
      <c r="D47" s="7">
        <f t="shared" si="27"/>
        <v>0.8707940123735034</v>
      </c>
      <c r="E47" s="25">
        <v>8</v>
      </c>
      <c r="F47" s="316">
        <v>23.539700618675166</v>
      </c>
      <c r="G47" s="794">
        <v>20</v>
      </c>
      <c r="H47" s="143">
        <f t="shared" si="18"/>
        <v>43.53970061867517</v>
      </c>
      <c r="I47" s="143">
        <f t="shared" si="19"/>
        <v>27.032455763577818</v>
      </c>
      <c r="J47" s="143">
        <f t="shared" si="11"/>
        <v>22.967544236422178</v>
      </c>
      <c r="K47" s="143">
        <f t="shared" si="12"/>
        <v>549599552473.69012</v>
      </c>
      <c r="L47" s="143">
        <f t="shared" si="12"/>
        <v>9433605804.9014721</v>
      </c>
      <c r="M47" s="143">
        <f t="shared" si="20"/>
        <v>559033158278.59155</v>
      </c>
      <c r="N47" s="820">
        <f t="shared" si="13"/>
        <v>0.98483741427957416</v>
      </c>
      <c r="O47" s="821">
        <f t="shared" si="13"/>
        <v>1.8587132575175747E-2</v>
      </c>
      <c r="P47" s="822">
        <f>$D47*LN(EXP($G47/$D47)+EXP($F47/$D47))</f>
        <v>23.554520541714858</v>
      </c>
      <c r="Q47" s="825">
        <f>(P47-P46)</f>
        <v>1.0000024357196402</v>
      </c>
      <c r="R47" s="798">
        <f t="shared" si="21"/>
        <v>3.4245468547497993E-3</v>
      </c>
      <c r="S47" s="635">
        <f t="shared" si="16"/>
        <v>0.98312514085219926</v>
      </c>
      <c r="T47" s="636">
        <f t="shared" si="16"/>
        <v>1.6874859147800847E-2</v>
      </c>
      <c r="U47" s="804">
        <f t="shared" si="28"/>
        <v>3.2687844172772484E-2</v>
      </c>
      <c r="V47" s="805">
        <f t="shared" si="22"/>
        <v>3.2687764554542365E-2</v>
      </c>
      <c r="W47" s="785"/>
      <c r="X47" s="885">
        <f t="shared" si="17"/>
        <v>0.98483741427957416</v>
      </c>
      <c r="Y47" s="887">
        <f t="shared" si="23"/>
        <v>3.4245468547497993E-3</v>
      </c>
      <c r="Z47" s="187">
        <f t="shared" si="24"/>
        <v>0.98312514085219926</v>
      </c>
      <c r="AA47" s="619">
        <f t="shared" si="25"/>
        <v>0.98404509123984707</v>
      </c>
      <c r="AB47" s="120">
        <f t="shared" si="26"/>
        <v>0.99919547833151046</v>
      </c>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row>
    <row r="48" spans="1:54" x14ac:dyDescent="0.25">
      <c r="B48" s="1670"/>
      <c r="C48" s="7"/>
      <c r="D48" s="7">
        <f t="shared" si="27"/>
        <v>1.7415880247470068</v>
      </c>
      <c r="E48" s="25">
        <v>9</v>
      </c>
      <c r="F48" s="316">
        <f>F47*2</f>
        <v>47.079401237350332</v>
      </c>
      <c r="G48" s="794">
        <f>G47*2</f>
        <v>40</v>
      </c>
      <c r="H48" s="143">
        <f t="shared" si="18"/>
        <v>87.079401237350339</v>
      </c>
      <c r="I48" s="143">
        <f t="shared" si="19"/>
        <v>27.032455763577818</v>
      </c>
      <c r="J48" s="143">
        <f t="shared" si="11"/>
        <v>22.967544236422178</v>
      </c>
      <c r="K48" s="143">
        <f t="shared" si="12"/>
        <v>549599552473.69012</v>
      </c>
      <c r="L48" s="143">
        <f t="shared" si="12"/>
        <v>9433605804.9014721</v>
      </c>
      <c r="M48" s="143">
        <f t="shared" si="20"/>
        <v>559033158278.59155</v>
      </c>
      <c r="N48" s="820">
        <f t="shared" si="13"/>
        <v>0.98483741427957416</v>
      </c>
      <c r="O48" s="821">
        <f t="shared" si="13"/>
        <v>1.8587132575175747E-2</v>
      </c>
      <c r="P48" s="822">
        <f t="shared" si="14"/>
        <v>47.109041083429716</v>
      </c>
      <c r="Q48" s="410">
        <f t="shared" si="15"/>
        <v>23.554520541714858</v>
      </c>
      <c r="R48" s="798">
        <f t="shared" si="21"/>
        <v>3.4245468547497993E-3</v>
      </c>
      <c r="S48" s="635">
        <f t="shared" si="16"/>
        <v>0.98312514085219926</v>
      </c>
      <c r="T48" s="636">
        <f t="shared" si="16"/>
        <v>1.6874859147800847E-2</v>
      </c>
      <c r="U48" s="806">
        <f t="shared" si="28"/>
        <v>0</v>
      </c>
      <c r="V48" s="744">
        <f t="shared" si="22"/>
        <v>0</v>
      </c>
      <c r="W48" s="785"/>
      <c r="X48" s="885">
        <f t="shared" si="17"/>
        <v>0.98483741427957416</v>
      </c>
      <c r="Y48" s="887">
        <f t="shared" si="23"/>
        <v>3.4245468547497993E-3</v>
      </c>
      <c r="Z48" s="187">
        <f t="shared" si="24"/>
        <v>0.98312514085219926</v>
      </c>
      <c r="AA48" s="619">
        <f t="shared" si="25"/>
        <v>0.98404509123984707</v>
      </c>
      <c r="AB48" s="120">
        <f t="shared" si="26"/>
        <v>0.99919547833151046</v>
      </c>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2:54" x14ac:dyDescent="0.25">
      <c r="B49" s="1670"/>
      <c r="C49" s="7"/>
      <c r="D49" s="7">
        <f t="shared" si="27"/>
        <v>0.64</v>
      </c>
      <c r="E49" s="25">
        <v>10</v>
      </c>
      <c r="F49" s="316">
        <v>20</v>
      </c>
      <c r="G49" s="794">
        <v>12</v>
      </c>
      <c r="H49" s="143">
        <f t="shared" si="18"/>
        <v>32</v>
      </c>
      <c r="I49" s="143">
        <f t="shared" si="19"/>
        <v>31.25</v>
      </c>
      <c r="J49" s="143">
        <f t="shared" si="11"/>
        <v>18.75</v>
      </c>
      <c r="K49" s="143">
        <f t="shared" si="12"/>
        <v>37299461295718.883</v>
      </c>
      <c r="L49" s="143">
        <f t="shared" si="12"/>
        <v>139002155.75451639</v>
      </c>
      <c r="M49" s="143">
        <f t="shared" si="20"/>
        <v>37299600297874.641</v>
      </c>
      <c r="N49" s="820">
        <f t="shared" si="13"/>
        <v>0.99999727955346152</v>
      </c>
      <c r="O49" s="821">
        <f t="shared" si="13"/>
        <v>4.7328320299522275E-6</v>
      </c>
      <c r="P49" s="822">
        <f t="shared" si="14"/>
        <v>20.000002385053588</v>
      </c>
      <c r="Q49" s="410">
        <f t="shared" si="15"/>
        <v>-27.109038698376128</v>
      </c>
      <c r="R49" s="798">
        <f t="shared" si="21"/>
        <v>2.0123854915787831E-6</v>
      </c>
      <c r="S49" s="635">
        <f t="shared" si="16"/>
        <v>0.99999627336071573</v>
      </c>
      <c r="T49" s="636">
        <f t="shared" si="16"/>
        <v>3.726639284162836E-6</v>
      </c>
      <c r="U49" s="806">
        <f t="shared" si="28"/>
        <v>1.6871132508516462E-2</v>
      </c>
      <c r="V49" s="744">
        <f t="shared" si="22"/>
        <v>-6.2234344405311093E-4</v>
      </c>
      <c r="W49" s="785"/>
      <c r="X49" s="885">
        <f t="shared" si="17"/>
        <v>0.99999727955346152</v>
      </c>
      <c r="Y49" s="887">
        <f t="shared" si="23"/>
        <v>2.0123854915787831E-6</v>
      </c>
      <c r="Z49" s="187">
        <f t="shared" si="24"/>
        <v>0.99999627336071573</v>
      </c>
      <c r="AA49" s="619">
        <f t="shared" si="25"/>
        <v>0.99999648000870667</v>
      </c>
      <c r="AB49" s="120">
        <f t="shared" si="26"/>
        <v>0.99999920045307</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2:54" x14ac:dyDescent="0.25">
      <c r="B50" s="1670"/>
      <c r="C50" s="7"/>
      <c r="D50" s="7">
        <f t="shared" si="27"/>
        <v>1.22</v>
      </c>
      <c r="E50" s="25">
        <v>11</v>
      </c>
      <c r="F50" s="453">
        <v>30</v>
      </c>
      <c r="G50" s="826">
        <v>31</v>
      </c>
      <c r="H50" s="143">
        <f t="shared" si="18"/>
        <v>61</v>
      </c>
      <c r="I50" s="143">
        <f t="shared" si="19"/>
        <v>24.590163934426229</v>
      </c>
      <c r="J50" s="143">
        <f t="shared" si="11"/>
        <v>25.409836065573771</v>
      </c>
      <c r="K50" s="143">
        <f t="shared" si="12"/>
        <v>47793903880.323059</v>
      </c>
      <c r="L50" s="143">
        <f t="shared" si="12"/>
        <v>108480477794.19075</v>
      </c>
      <c r="M50" s="143">
        <f t="shared" si="20"/>
        <v>156274381674.51379</v>
      </c>
      <c r="N50" s="820">
        <f t="shared" si="13"/>
        <v>0.31814778362083362</v>
      </c>
      <c r="O50" s="821">
        <f t="shared" si="13"/>
        <v>0.7064812600588648</v>
      </c>
      <c r="P50" s="822">
        <f t="shared" si="14"/>
        <v>31.44535257044982</v>
      </c>
      <c r="Q50" s="410">
        <f t="shared" si="15"/>
        <v>11.445350185396233</v>
      </c>
      <c r="R50" s="798">
        <f t="shared" si="21"/>
        <v>2.4629043679698537E-2</v>
      </c>
      <c r="S50" s="635">
        <f t="shared" si="16"/>
        <v>0.30583326178098436</v>
      </c>
      <c r="T50" s="636">
        <f t="shared" si="16"/>
        <v>0.69416673821901553</v>
      </c>
      <c r="U50" s="806">
        <f t="shared" si="28"/>
        <v>-0.69416301157973137</v>
      </c>
      <c r="V50" s="744">
        <f t="shared" si="22"/>
        <v>-6.0650220424487582E-2</v>
      </c>
      <c r="W50" s="785"/>
      <c r="X50" s="885">
        <f t="shared" si="17"/>
        <v>0.31814778362083362</v>
      </c>
      <c r="Y50" s="887">
        <f t="shared" si="23"/>
        <v>2.4629043679698537E-2</v>
      </c>
      <c r="Z50" s="187">
        <f t="shared" si="24"/>
        <v>0.30583326178098436</v>
      </c>
      <c r="AA50" s="619">
        <f t="shared" si="25"/>
        <v>0.31760563344664555</v>
      </c>
      <c r="AB50" s="120">
        <f t="shared" si="26"/>
        <v>0.99829591717403188</v>
      </c>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row>
    <row r="51" spans="2:54" x14ac:dyDescent="0.25">
      <c r="B51" s="1670"/>
      <c r="C51" s="7"/>
      <c r="D51" s="7">
        <f t="shared" si="27"/>
        <v>1.24</v>
      </c>
      <c r="E51" s="25">
        <v>12</v>
      </c>
      <c r="F51" s="453">
        <v>30</v>
      </c>
      <c r="G51" s="826">
        <v>32</v>
      </c>
      <c r="H51" s="143">
        <f t="shared" si="18"/>
        <v>62</v>
      </c>
      <c r="I51" s="143">
        <f t="shared" si="19"/>
        <v>24.193548387096776</v>
      </c>
      <c r="J51" s="143">
        <f t="shared" si="11"/>
        <v>25.806451612903228</v>
      </c>
      <c r="K51" s="143">
        <f t="shared" si="12"/>
        <v>32145823969.095764</v>
      </c>
      <c r="L51" s="143">
        <f t="shared" si="12"/>
        <v>161287062779.02673</v>
      </c>
      <c r="M51" s="143">
        <f t="shared" si="20"/>
        <v>193432886748.1225</v>
      </c>
      <c r="N51" s="820">
        <f t="shared" si="13"/>
        <v>0.17518166209987412</v>
      </c>
      <c r="O51" s="821">
        <f t="shared" si="13"/>
        <v>0.84280980424765417</v>
      </c>
      <c r="P51" s="822">
        <f t="shared" si="14"/>
        <v>32.225363598921156</v>
      </c>
      <c r="Q51" s="410">
        <f t="shared" si="15"/>
        <v>0.78001102847133552</v>
      </c>
      <c r="R51" s="798">
        <f t="shared" si="21"/>
        <v>1.799146634752824E-2</v>
      </c>
      <c r="S51" s="635">
        <f t="shared" si="16"/>
        <v>0.16618592892611</v>
      </c>
      <c r="T51" s="636">
        <f t="shared" si="16"/>
        <v>0.83381407107389005</v>
      </c>
      <c r="U51" s="806">
        <f t="shared" si="28"/>
        <v>-0.13964733285487435</v>
      </c>
      <c r="V51" s="744">
        <f t="shared" si="22"/>
        <v>-0.17903251076918103</v>
      </c>
      <c r="W51" s="785"/>
      <c r="X51" s="885">
        <f t="shared" si="17"/>
        <v>0.17518166209987412</v>
      </c>
      <c r="Y51" s="887">
        <f t="shared" si="23"/>
        <v>1.799146634752824E-2</v>
      </c>
      <c r="Z51" s="187">
        <f t="shared" si="24"/>
        <v>0.16618592892611</v>
      </c>
      <c r="AA51" s="619">
        <f t="shared" si="25"/>
        <v>0.17386977960976904</v>
      </c>
      <c r="AB51" s="120">
        <f t="shared" si="26"/>
        <v>0.99251130241384999</v>
      </c>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row>
    <row r="52" spans="2:54" x14ac:dyDescent="0.25">
      <c r="B52" s="1670"/>
      <c r="C52" s="7"/>
      <c r="D52" s="7">
        <f t="shared" si="27"/>
        <v>1.26</v>
      </c>
      <c r="E52" s="25">
        <v>13</v>
      </c>
      <c r="F52" s="453">
        <v>30</v>
      </c>
      <c r="G52" s="826">
        <v>33</v>
      </c>
      <c r="H52" s="143">
        <f t="shared" si="18"/>
        <v>63</v>
      </c>
      <c r="I52" s="143">
        <f t="shared" si="19"/>
        <v>23.80952380952381</v>
      </c>
      <c r="J52" s="143">
        <f t="shared" si="11"/>
        <v>26.19047619047619</v>
      </c>
      <c r="K52" s="143">
        <f t="shared" si="12"/>
        <v>21894992825.535973</v>
      </c>
      <c r="L52" s="143">
        <f t="shared" si="12"/>
        <v>236798685886.76529</v>
      </c>
      <c r="M52" s="143">
        <f t="shared" si="20"/>
        <v>258693678712.30127</v>
      </c>
      <c r="N52" s="820">
        <f t="shared" si="13"/>
        <v>9.0435759925068193E-2</v>
      </c>
      <c r="O52" s="821">
        <f t="shared" si="13"/>
        <v>0.92116225517982175</v>
      </c>
      <c r="P52" s="822">
        <f t="shared" si="14"/>
        <v>33.111427218686174</v>
      </c>
      <c r="Q52" s="410">
        <f t="shared" si="15"/>
        <v>0.88606361976501802</v>
      </c>
      <c r="R52" s="798">
        <f t="shared" si="21"/>
        <v>1.1598015104890003E-2</v>
      </c>
      <c r="S52" s="635">
        <f t="shared" si="16"/>
        <v>8.4636752372623192E-2</v>
      </c>
      <c r="T52" s="636">
        <f t="shared" si="16"/>
        <v>0.91536324762737675</v>
      </c>
      <c r="U52" s="806">
        <f t="shared" si="28"/>
        <v>-8.1549176553486813E-2</v>
      </c>
      <c r="V52" s="744">
        <f t="shared" si="22"/>
        <v>-9.2035351338669635E-2</v>
      </c>
      <c r="W52" s="785"/>
      <c r="X52" s="885">
        <f t="shared" si="17"/>
        <v>9.0435759925068193E-2</v>
      </c>
      <c r="Y52" s="887">
        <f t="shared" si="23"/>
        <v>1.1598015104890003E-2</v>
      </c>
      <c r="Z52" s="187">
        <f t="shared" si="24"/>
        <v>8.4636752372623192E-2</v>
      </c>
      <c r="AA52" s="619">
        <f t="shared" si="25"/>
        <v>8.89327883511042E-2</v>
      </c>
      <c r="AB52" s="120">
        <f t="shared" si="26"/>
        <v>0.9833807823895182</v>
      </c>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row>
    <row r="53" spans="2:54" x14ac:dyDescent="0.25">
      <c r="B53" s="1670"/>
      <c r="C53" s="7"/>
      <c r="D53" s="7">
        <f t="shared" si="27"/>
        <v>0.8</v>
      </c>
      <c r="E53" s="25">
        <v>14</v>
      </c>
      <c r="F53" s="453">
        <v>20</v>
      </c>
      <c r="G53" s="826">
        <v>20</v>
      </c>
      <c r="H53" s="143">
        <f t="shared" si="18"/>
        <v>40</v>
      </c>
      <c r="I53" s="143">
        <f t="shared" si="19"/>
        <v>25</v>
      </c>
      <c r="J53" s="143">
        <f t="shared" si="11"/>
        <v>25</v>
      </c>
      <c r="K53" s="143">
        <f t="shared" si="12"/>
        <v>72004899337.38588</v>
      </c>
      <c r="L53" s="143">
        <f t="shared" si="12"/>
        <v>72004899337.38588</v>
      </c>
      <c r="M53" s="143">
        <f t="shared" si="20"/>
        <v>144009798674.77176</v>
      </c>
      <c r="N53" s="820">
        <f t="shared" si="13"/>
        <v>0.513862943611199</v>
      </c>
      <c r="O53" s="821">
        <f t="shared" si="13"/>
        <v>0.513862943611199</v>
      </c>
      <c r="P53" s="822">
        <f t="shared" si="14"/>
        <v>20.55451774444796</v>
      </c>
      <c r="Q53" s="410">
        <f t="shared" si="15"/>
        <v>-12.556909474238214</v>
      </c>
      <c r="R53" s="798">
        <f t="shared" si="21"/>
        <v>2.7725887222397994E-2</v>
      </c>
      <c r="S53" s="635">
        <f t="shared" si="16"/>
        <v>0.5</v>
      </c>
      <c r="T53" s="636">
        <f t="shared" si="16"/>
        <v>0.5</v>
      </c>
      <c r="U53" s="806">
        <f t="shared" si="28"/>
        <v>0.41536324762737681</v>
      </c>
      <c r="V53" s="744">
        <f t="shared" si="22"/>
        <v>-3.3078461581612664E-2</v>
      </c>
      <c r="W53" s="785"/>
      <c r="X53" s="885">
        <f t="shared" si="17"/>
        <v>0.513862943611199</v>
      </c>
      <c r="Y53" s="887">
        <f t="shared" si="23"/>
        <v>2.7725887222397994E-2</v>
      </c>
      <c r="Z53" s="187">
        <f t="shared" si="24"/>
        <v>0.5</v>
      </c>
      <c r="AA53" s="619">
        <f t="shared" si="25"/>
        <v>0.513862943611199</v>
      </c>
      <c r="AB53" s="120">
        <f t="shared" si="26"/>
        <v>1</v>
      </c>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2:54" x14ac:dyDescent="0.25">
      <c r="B54" s="1670"/>
      <c r="C54" s="7"/>
      <c r="D54" s="7">
        <f t="shared" si="27"/>
        <v>0.76</v>
      </c>
      <c r="E54" s="25">
        <v>15</v>
      </c>
      <c r="F54" s="453">
        <v>19</v>
      </c>
      <c r="G54" s="826">
        <v>19</v>
      </c>
      <c r="H54" s="143">
        <f t="shared" si="18"/>
        <v>38</v>
      </c>
      <c r="I54" s="143">
        <f t="shared" si="19"/>
        <v>25</v>
      </c>
      <c r="J54" s="143">
        <f t="shared" si="11"/>
        <v>25</v>
      </c>
      <c r="K54" s="143">
        <f t="shared" si="12"/>
        <v>72004899337.38588</v>
      </c>
      <c r="L54" s="143">
        <f t="shared" si="12"/>
        <v>72004899337.38588</v>
      </c>
      <c r="M54" s="143">
        <f t="shared" si="20"/>
        <v>144009798674.77176</v>
      </c>
      <c r="N54" s="820">
        <f t="shared" si="13"/>
        <v>0.513862943611199</v>
      </c>
      <c r="O54" s="821">
        <f t="shared" si="13"/>
        <v>0.513862943611199</v>
      </c>
      <c r="P54" s="822">
        <f t="shared" si="14"/>
        <v>19.526791857225561</v>
      </c>
      <c r="Q54" s="410">
        <f t="shared" si="15"/>
        <v>-1.0277258872223989</v>
      </c>
      <c r="R54" s="798">
        <f t="shared" si="21"/>
        <v>2.7725887222397994E-2</v>
      </c>
      <c r="S54" s="635">
        <f t="shared" si="16"/>
        <v>0.5</v>
      </c>
      <c r="T54" s="636">
        <f t="shared" si="16"/>
        <v>0.5</v>
      </c>
      <c r="U54" s="806">
        <f t="shared" si="28"/>
        <v>0</v>
      </c>
      <c r="V54" s="744">
        <f t="shared" si="22"/>
        <v>0</v>
      </c>
      <c r="W54" s="785"/>
      <c r="X54" s="885">
        <f t="shared" si="17"/>
        <v>0.513862943611199</v>
      </c>
      <c r="Y54" s="887">
        <f t="shared" si="23"/>
        <v>2.7725887222397994E-2</v>
      </c>
      <c r="Z54" s="187">
        <f t="shared" si="24"/>
        <v>0.5</v>
      </c>
      <c r="AA54" s="619">
        <f t="shared" si="25"/>
        <v>0.513862943611199</v>
      </c>
      <c r="AB54" s="120">
        <f>AA54/X54</f>
        <v>1</v>
      </c>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row>
    <row r="55" spans="2:54" ht="15.75" thickBot="1" x14ac:dyDescent="0.3">
      <c r="B55" s="1670"/>
      <c r="C55" s="7"/>
      <c r="D55" s="7">
        <f t="shared" si="27"/>
        <v>0.8</v>
      </c>
      <c r="E55" s="25">
        <v>16</v>
      </c>
      <c r="F55" s="247">
        <v>20</v>
      </c>
      <c r="G55" s="248">
        <v>20</v>
      </c>
      <c r="H55" s="816">
        <f t="shared" si="18"/>
        <v>40</v>
      </c>
      <c r="I55" s="816">
        <f t="shared" si="19"/>
        <v>25</v>
      </c>
      <c r="J55" s="816">
        <f t="shared" si="11"/>
        <v>25</v>
      </c>
      <c r="K55" s="816">
        <f t="shared" si="12"/>
        <v>72004899337.38588</v>
      </c>
      <c r="L55" s="816">
        <f t="shared" si="12"/>
        <v>72004899337.38588</v>
      </c>
      <c r="M55" s="816">
        <f t="shared" si="20"/>
        <v>144009798674.77176</v>
      </c>
      <c r="N55" s="827">
        <f t="shared" si="13"/>
        <v>0.513862943611199</v>
      </c>
      <c r="O55" s="828">
        <f t="shared" si="13"/>
        <v>0.513862943611199</v>
      </c>
      <c r="P55" s="829">
        <f t="shared" si="14"/>
        <v>20.55451774444796</v>
      </c>
      <c r="Q55" s="792">
        <f t="shared" si="15"/>
        <v>1.0277258872223989</v>
      </c>
      <c r="R55" s="798">
        <f t="shared" si="21"/>
        <v>2.7725887222397994E-2</v>
      </c>
      <c r="S55" s="637">
        <f t="shared" si="16"/>
        <v>0.5</v>
      </c>
      <c r="T55" s="639">
        <f t="shared" si="16"/>
        <v>0.5</v>
      </c>
      <c r="U55" s="806">
        <f t="shared" si="28"/>
        <v>0</v>
      </c>
      <c r="V55" s="744">
        <f t="shared" si="22"/>
        <v>0</v>
      </c>
      <c r="W55" s="785"/>
      <c r="X55" s="885">
        <f t="shared" si="17"/>
        <v>0.513862943611199</v>
      </c>
      <c r="Y55" s="887">
        <f t="shared" si="23"/>
        <v>2.7725887222397994E-2</v>
      </c>
      <c r="Z55" s="187">
        <f t="shared" si="24"/>
        <v>0.5</v>
      </c>
      <c r="AA55" s="619">
        <f t="shared" si="25"/>
        <v>0.513862943611199</v>
      </c>
      <c r="AB55" s="120">
        <f>AA55/X55</f>
        <v>1</v>
      </c>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2:54" ht="16.5" thickTop="1" thickBot="1" x14ac:dyDescent="0.3">
      <c r="B56" s="1671"/>
      <c r="C56" s="7"/>
      <c r="D56" s="7">
        <f t="shared" si="27"/>
        <v>0.36</v>
      </c>
      <c r="E56" s="25" t="s">
        <v>97</v>
      </c>
      <c r="F56" s="376">
        <v>9</v>
      </c>
      <c r="G56" s="373">
        <v>9</v>
      </c>
      <c r="H56" s="830">
        <f t="shared" si="18"/>
        <v>18</v>
      </c>
      <c r="I56" s="830">
        <f t="shared" si="19"/>
        <v>25</v>
      </c>
      <c r="J56" s="830">
        <f t="shared" si="11"/>
        <v>25</v>
      </c>
      <c r="K56" s="830">
        <f t="shared" si="12"/>
        <v>72004899337.38588</v>
      </c>
      <c r="L56" s="830">
        <f t="shared" si="12"/>
        <v>72004899337.38588</v>
      </c>
      <c r="M56" s="830">
        <f t="shared" si="20"/>
        <v>144009798674.77176</v>
      </c>
      <c r="N56" s="469">
        <v>0</v>
      </c>
      <c r="O56" s="471">
        <v>1</v>
      </c>
      <c r="P56" s="831">
        <f t="shared" si="14"/>
        <v>9.2495329850015811</v>
      </c>
      <c r="Q56" s="647" t="s">
        <v>128</v>
      </c>
      <c r="R56" s="785"/>
      <c r="S56" s="866">
        <f t="shared" ref="S56:S61" si="29">N40/SUM(N40:O40)</f>
        <v>0.5</v>
      </c>
      <c r="T56" s="866">
        <f t="shared" ref="T56:T61" si="30">O40/SUM(N40:O40)</f>
        <v>0.5</v>
      </c>
      <c r="U56" s="785"/>
      <c r="V56" s="785"/>
      <c r="W56" s="785"/>
      <c r="X56" s="785"/>
      <c r="Y56" s="785"/>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row>
    <row r="57" spans="2:54" x14ac:dyDescent="0.25">
      <c r="C57" s="7"/>
      <c r="D57" s="7"/>
      <c r="F57" s="17"/>
      <c r="G57" s="239"/>
      <c r="H57" s="140"/>
      <c r="I57" s="140"/>
      <c r="J57" s="140"/>
      <c r="K57" s="140"/>
      <c r="L57" s="140"/>
      <c r="M57" s="140"/>
      <c r="N57" s="17"/>
      <c r="O57" s="33"/>
      <c r="P57" s="812">
        <f>SUMPRODUCT(N56:O56,F56:G56)</f>
        <v>9</v>
      </c>
      <c r="Q57" s="26" t="s">
        <v>109</v>
      </c>
      <c r="R57" s="785"/>
      <c r="S57" s="866">
        <f t="shared" si="29"/>
        <v>0.99325272632797434</v>
      </c>
      <c r="T57" s="866">
        <f t="shared" si="30"/>
        <v>6.747273672025619E-3</v>
      </c>
      <c r="V57" s="785" t="s">
        <v>395</v>
      </c>
      <c r="W57" s="785" t="s">
        <v>394</v>
      </c>
      <c r="X57" t="s">
        <v>396</v>
      </c>
      <c r="Y57" s="143" t="s">
        <v>388</v>
      </c>
      <c r="Z57" s="146" t="s">
        <v>393</v>
      </c>
      <c r="AA57" s="143" t="s">
        <v>388</v>
      </c>
      <c r="AB57" s="143" t="s">
        <v>391</v>
      </c>
      <c r="AC57" s="7" t="s">
        <v>392</v>
      </c>
      <c r="AD57" s="7"/>
      <c r="AE57" s="7"/>
      <c r="AF57" s="7"/>
      <c r="AG57" s="7"/>
      <c r="AH57" s="7"/>
      <c r="AI57" s="7"/>
      <c r="AJ57" s="7"/>
      <c r="AK57" s="7"/>
      <c r="AL57" s="7"/>
      <c r="AM57" s="7"/>
      <c r="AN57" s="7"/>
      <c r="AO57" s="7"/>
      <c r="AP57" s="7"/>
      <c r="AQ57" s="7"/>
      <c r="AR57" s="7"/>
      <c r="AS57" s="7"/>
      <c r="AT57" s="7"/>
      <c r="AU57" s="7"/>
      <c r="AV57" s="7"/>
      <c r="AW57" s="7"/>
      <c r="AX57" s="7"/>
      <c r="AY57" s="7"/>
      <c r="AZ57" s="7"/>
      <c r="BA57" s="7"/>
      <c r="BB57" s="7"/>
    </row>
    <row r="58" spans="2:54" x14ac:dyDescent="0.25">
      <c r="C58" s="7"/>
      <c r="D58" s="7"/>
      <c r="E58" s="7"/>
      <c r="F58" s="17"/>
      <c r="G58" s="239"/>
      <c r="H58" s="140"/>
      <c r="I58" s="140"/>
      <c r="J58" s="140"/>
      <c r="K58" s="140"/>
      <c r="L58" s="140"/>
      <c r="M58" s="140"/>
      <c r="N58" s="17"/>
      <c r="O58" s="17"/>
      <c r="P58" s="813">
        <f>P56-P57</f>
        <v>0.24953298500158105</v>
      </c>
      <c r="Q58" s="189" t="s">
        <v>102</v>
      </c>
      <c r="R58" s="785"/>
      <c r="S58" s="866">
        <f t="shared" si="29"/>
        <v>0.99982145390494537</v>
      </c>
      <c r="T58" s="866">
        <f t="shared" si="30"/>
        <v>1.785460950547386E-4</v>
      </c>
      <c r="V58" s="798">
        <f t="shared" ref="V58:V73" si="31">Z58-0.525</f>
        <v>-1.1137056388801025E-2</v>
      </c>
      <c r="W58" s="668">
        <f t="shared" ref="W58:W73" si="32">Y58-0.5</f>
        <v>0</v>
      </c>
      <c r="X58" s="459">
        <f>W58^2</f>
        <v>0</v>
      </c>
      <c r="Y58" s="160">
        <f>AA58</f>
        <v>0.5</v>
      </c>
      <c r="Z58" s="4">
        <f>N40</f>
        <v>0.513862943611199</v>
      </c>
      <c r="AA58" s="160">
        <f>S56</f>
        <v>0.5</v>
      </c>
      <c r="AB58" s="885">
        <f>X40-AA58</f>
        <v>1.3862943611198997E-2</v>
      </c>
      <c r="AC58" s="886">
        <f>(AB58-1)^2</f>
        <v>0.97246629398316931</v>
      </c>
      <c r="AD58" s="7">
        <f>EXP(AC58)</f>
        <v>2.6444584352901925</v>
      </c>
      <c r="AE58" s="7"/>
      <c r="AF58" s="7"/>
      <c r="AG58" s="7"/>
      <c r="AH58" s="7"/>
      <c r="AI58" s="7"/>
      <c r="AJ58" s="7"/>
      <c r="AK58" s="7"/>
      <c r="AL58" s="7"/>
      <c r="AM58" s="7"/>
      <c r="AN58" s="7"/>
      <c r="AO58" s="7"/>
      <c r="AP58" s="7"/>
      <c r="AQ58" s="7"/>
      <c r="AR58" s="7"/>
      <c r="AS58" s="7"/>
      <c r="AT58" s="7"/>
      <c r="AU58" s="7"/>
      <c r="AV58" s="7"/>
      <c r="AW58" s="7"/>
      <c r="AX58" s="7"/>
      <c r="AY58" s="7"/>
      <c r="AZ58" s="7"/>
      <c r="BA58" s="7"/>
      <c r="BB58" s="7"/>
    </row>
    <row r="59" spans="2:54" x14ac:dyDescent="0.25">
      <c r="C59" s="7"/>
      <c r="D59" s="7"/>
      <c r="E59" s="7"/>
      <c r="F59" s="7"/>
      <c r="G59" s="7"/>
      <c r="H59" s="7"/>
      <c r="I59" s="7"/>
      <c r="J59" s="7"/>
      <c r="K59" s="7"/>
      <c r="L59" s="7"/>
      <c r="M59" s="7"/>
      <c r="N59" s="7"/>
      <c r="O59" s="7"/>
      <c r="P59" s="7"/>
      <c r="Q59" s="7"/>
      <c r="R59" s="785"/>
      <c r="S59" s="866">
        <f t="shared" si="29"/>
        <v>0.99999182567650147</v>
      </c>
      <c r="T59" s="866">
        <f t="shared" si="30"/>
        <v>8.1743234985750449E-6</v>
      </c>
      <c r="V59" s="798">
        <f t="shared" si="31"/>
        <v>0.46971429846963597</v>
      </c>
      <c r="W59" s="668">
        <f t="shared" si="32"/>
        <v>0.49325272632797434</v>
      </c>
      <c r="X59" s="459">
        <f t="shared" ref="X59:X73" si="33">W59^2</f>
        <v>0.24329825202997957</v>
      </c>
      <c r="Y59" s="160">
        <f t="shared" ref="Y59:Y73" si="34">AA59</f>
        <v>0.99325272632797434</v>
      </c>
      <c r="Z59" s="4">
        <f t="shared" ref="Z59:Z73" si="35">N41</f>
        <v>0.99471429846963599</v>
      </c>
      <c r="AA59" s="160">
        <f t="shared" ref="AA59:AA73" si="36">S57</f>
        <v>0.99325272632797434</v>
      </c>
      <c r="AB59" s="885">
        <f t="shared" ref="AB59:AB73" si="37">X41-AA59</f>
        <v>1.4615721416616489E-3</v>
      </c>
      <c r="AC59" s="886">
        <f t="shared" ref="AC59:AC73" si="38">(AB59-1)^2</f>
        <v>0.99707899190980198</v>
      </c>
      <c r="AD59" s="7">
        <f t="shared" ref="AD59:AD73" si="39">EXP(AC59)</f>
        <v>2.7103532905457524</v>
      </c>
      <c r="AE59" s="7"/>
      <c r="AF59" s="7"/>
      <c r="AG59" s="7"/>
      <c r="AH59" s="7"/>
      <c r="AI59" s="7"/>
      <c r="AJ59" s="7"/>
      <c r="AK59" s="7"/>
      <c r="AL59" s="7"/>
      <c r="AM59" s="7"/>
      <c r="AN59" s="7"/>
      <c r="AO59" s="7"/>
      <c r="AP59" s="7"/>
      <c r="AQ59" s="7"/>
      <c r="AR59" s="7"/>
      <c r="AS59" s="7"/>
      <c r="AT59" s="7"/>
      <c r="AU59" s="7"/>
      <c r="AV59" s="7"/>
      <c r="AW59" s="7"/>
      <c r="AX59" s="7"/>
      <c r="AY59" s="7"/>
      <c r="AZ59" s="7"/>
      <c r="BA59" s="7"/>
      <c r="BB59" s="7"/>
    </row>
    <row r="60" spans="2:54" x14ac:dyDescent="0.25">
      <c r="C60" s="832" t="s">
        <v>339</v>
      </c>
      <c r="F60"/>
      <c r="G60"/>
      <c r="H60"/>
      <c r="I60"/>
      <c r="J60"/>
      <c r="K60"/>
      <c r="R60" s="785"/>
      <c r="S60" s="866">
        <f t="shared" si="29"/>
        <v>0.5</v>
      </c>
      <c r="T60" s="866">
        <f t="shared" si="30"/>
        <v>0.5</v>
      </c>
      <c r="V60" s="798">
        <f t="shared" si="31"/>
        <v>0.47488001530026536</v>
      </c>
      <c r="W60" s="668">
        <f t="shared" si="32"/>
        <v>0.49982145390494537</v>
      </c>
      <c r="X60" s="459">
        <f t="shared" si="33"/>
        <v>0.24982148578365343</v>
      </c>
      <c r="Y60" s="160">
        <f t="shared" si="34"/>
        <v>0.99982145390494537</v>
      </c>
      <c r="Z60" s="4">
        <f t="shared" si="35"/>
        <v>0.99988001530026538</v>
      </c>
      <c r="AA60" s="160">
        <f t="shared" si="36"/>
        <v>0.99982145390494537</v>
      </c>
      <c r="AB60" s="885">
        <f t="shared" si="37"/>
        <v>5.8561395320011478E-5</v>
      </c>
      <c r="AC60" s="886">
        <f t="shared" si="38"/>
        <v>0.99988288063879704</v>
      </c>
      <c r="AD60" s="7">
        <f t="shared" si="39"/>
        <v>2.7179634836702595</v>
      </c>
      <c r="AE60"/>
      <c r="AF60"/>
      <c r="AG60"/>
      <c r="AH60"/>
      <c r="AI60"/>
      <c r="AJ60"/>
    </row>
    <row r="61" spans="2:54" x14ac:dyDescent="0.25">
      <c r="C61" t="s">
        <v>340</v>
      </c>
      <c r="E61" s="7"/>
      <c r="F61" s="7"/>
      <c r="G61" s="7"/>
      <c r="H61" s="7"/>
      <c r="I61" s="7"/>
      <c r="J61" s="7"/>
      <c r="K61" s="7"/>
      <c r="L61" s="7"/>
      <c r="M61" s="7" t="s">
        <v>397</v>
      </c>
      <c r="N61" s="7" t="s">
        <v>50</v>
      </c>
      <c r="O61" t="s">
        <v>398</v>
      </c>
      <c r="P61" s="7" t="s">
        <v>399</v>
      </c>
      <c r="Q61" s="647" t="s">
        <v>400</v>
      </c>
      <c r="R61" s="785"/>
      <c r="S61" s="866">
        <f t="shared" si="29"/>
        <v>0.84106169211032078</v>
      </c>
      <c r="T61" s="866">
        <f t="shared" si="30"/>
        <v>0.15893830788967919</v>
      </c>
      <c r="V61" s="798">
        <f t="shared" si="31"/>
        <v>0.47499518779967043</v>
      </c>
      <c r="W61" s="668">
        <f t="shared" si="32"/>
        <v>0.49999182567650147</v>
      </c>
      <c r="X61" s="459">
        <f t="shared" si="33"/>
        <v>0.24999182574332104</v>
      </c>
      <c r="Y61" s="160">
        <f t="shared" si="34"/>
        <v>0.99999182567650147</v>
      </c>
      <c r="Z61" s="4">
        <f t="shared" si="35"/>
        <v>0.99999518779967045</v>
      </c>
      <c r="AA61" s="160">
        <f t="shared" si="36"/>
        <v>0.99999182567650147</v>
      </c>
      <c r="AB61" s="885">
        <f t="shared" si="37"/>
        <v>3.3621231689817677E-6</v>
      </c>
      <c r="AC61" s="886">
        <f t="shared" si="38"/>
        <v>0.99999327576496588</v>
      </c>
      <c r="AD61" s="7">
        <f t="shared" si="39"/>
        <v>2.7182635501545955</v>
      </c>
      <c r="AE61"/>
      <c r="AF61"/>
      <c r="AG61"/>
      <c r="AH61"/>
      <c r="AI61"/>
      <c r="AJ61"/>
    </row>
    <row r="62" spans="2:54" x14ac:dyDescent="0.25">
      <c r="F62" s="832"/>
      <c r="G62"/>
      <c r="H62"/>
      <c r="I62"/>
      <c r="J62"/>
      <c r="K62"/>
      <c r="M62" s="889">
        <v>0.99471429846963599</v>
      </c>
      <c r="N62" s="889">
        <v>6.7572022903619189E-3</v>
      </c>
      <c r="O62" s="4">
        <f>1-M62</f>
        <v>5.2857015303640065E-3</v>
      </c>
      <c r="P62">
        <f>N62*(1+$C$65)</f>
        <v>6.944551719003423E-3</v>
      </c>
      <c r="Q62">
        <f>1-P62</f>
        <v>0.99305544828099657</v>
      </c>
      <c r="S62" s="866">
        <f>N46/SUM(N46:O46)</f>
        <v>0.94691159978078532</v>
      </c>
      <c r="T62" s="866">
        <f>O46/SUM(N46:O46)</f>
        <v>5.3088400219214647E-2</v>
      </c>
      <c r="V62" s="798">
        <f t="shared" si="31"/>
        <v>-1.1137056388801025E-2</v>
      </c>
      <c r="W62" s="668">
        <f t="shared" si="32"/>
        <v>0</v>
      </c>
      <c r="X62" s="459">
        <f t="shared" si="33"/>
        <v>0</v>
      </c>
      <c r="Y62" s="160">
        <f t="shared" si="34"/>
        <v>0.5</v>
      </c>
      <c r="Z62" s="4">
        <f t="shared" si="35"/>
        <v>0.513862943611199</v>
      </c>
      <c r="AA62" s="160">
        <f t="shared" si="36"/>
        <v>0.5</v>
      </c>
      <c r="AB62" s="885">
        <f t="shared" si="37"/>
        <v>1.3862943611198997E-2</v>
      </c>
      <c r="AC62" s="886">
        <f t="shared" si="38"/>
        <v>0.97246629398316931</v>
      </c>
      <c r="AD62" s="7">
        <f t="shared" si="39"/>
        <v>2.6444584352901925</v>
      </c>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row>
    <row r="63" spans="2:54" x14ac:dyDescent="0.25">
      <c r="C63" s="25" t="s">
        <v>341</v>
      </c>
      <c r="D63" s="33" t="s">
        <v>304</v>
      </c>
      <c r="E63" s="33"/>
      <c r="G63"/>
      <c r="H63"/>
      <c r="I63"/>
      <c r="J63"/>
      <c r="K63"/>
      <c r="M63" s="889">
        <v>0.99988001530026538</v>
      </c>
      <c r="N63" s="889">
        <v>1.7855655283038896E-4</v>
      </c>
      <c r="O63" s="4">
        <f t="shared" ref="O63:O74" si="40">1-M63</f>
        <v>1.19984699734621E-4</v>
      </c>
      <c r="P63">
        <f t="shared" ref="P63:P74" si="41">N63*(1+$C$65)</f>
        <v>1.8350719167698447E-4</v>
      </c>
      <c r="Q63">
        <f t="shared" ref="Q63:Q74" si="42">1-P63</f>
        <v>0.99981649280832297</v>
      </c>
      <c r="S63" s="866">
        <f>N47/SUM(N47:O47)</f>
        <v>0.98147630269417141</v>
      </c>
      <c r="T63" s="866">
        <f>O47/SUM(N47:O47)</f>
        <v>1.8523697305828733E-2</v>
      </c>
      <c r="V63" s="798">
        <f t="shared" si="31"/>
        <v>0.33046223752464421</v>
      </c>
      <c r="W63" s="668">
        <f t="shared" si="32"/>
        <v>0.34106169211032078</v>
      </c>
      <c r="X63" s="459">
        <f t="shared" si="33"/>
        <v>0.11632307782515525</v>
      </c>
      <c r="Y63" s="160">
        <f t="shared" si="34"/>
        <v>0.84106169211032078</v>
      </c>
      <c r="Z63" s="4">
        <f t="shared" si="35"/>
        <v>0.85546223752464423</v>
      </c>
      <c r="AA63" s="160">
        <f t="shared" si="36"/>
        <v>0.84106169211032078</v>
      </c>
      <c r="AB63" s="885">
        <f t="shared" si="37"/>
        <v>1.4400545414323451E-2</v>
      </c>
      <c r="AC63" s="886">
        <f t="shared" si="38"/>
        <v>0.97140628487958314</v>
      </c>
      <c r="AD63" s="7">
        <f t="shared" si="39"/>
        <v>2.6416567704321907</v>
      </c>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row>
    <row r="64" spans="2:54" x14ac:dyDescent="0.25">
      <c r="C64" s="833">
        <v>0.01</v>
      </c>
      <c r="D64">
        <f t="shared" ref="D64:D70" si="43">C64 / (2 *LN(2))</f>
        <v>7.2134752044448174E-3</v>
      </c>
      <c r="G64"/>
      <c r="H64"/>
      <c r="I64"/>
      <c r="J64"/>
      <c r="K64"/>
      <c r="M64" s="889">
        <v>0.99999518779967045</v>
      </c>
      <c r="N64" s="889">
        <v>8.1743509818821281E-6</v>
      </c>
      <c r="O64" s="4">
        <f t="shared" si="40"/>
        <v>4.8122003295514304E-6</v>
      </c>
      <c r="P64">
        <f t="shared" si="41"/>
        <v>8.4009921153220902E-6</v>
      </c>
      <c r="Q64">
        <f t="shared" si="42"/>
        <v>0.9999915990078847</v>
      </c>
      <c r="S64" s="866">
        <f t="shared" ref="S64:S70" si="44">N48/SUM(N48:O48)</f>
        <v>0.98147630269417141</v>
      </c>
      <c r="T64" s="866">
        <f t="shared" ref="T64:T71" si="45">O48/SUM(N48:O48)</f>
        <v>1.8523697305828733E-2</v>
      </c>
      <c r="V64" s="798">
        <f t="shared" si="31"/>
        <v>0.42938180930828984</v>
      </c>
      <c r="W64" s="668">
        <f t="shared" si="32"/>
        <v>0.44691159978078532</v>
      </c>
      <c r="X64" s="459">
        <f t="shared" si="33"/>
        <v>0.19972997801862083</v>
      </c>
      <c r="Y64" s="160">
        <f t="shared" si="34"/>
        <v>0.94691159978078532</v>
      </c>
      <c r="Z64" s="4">
        <f t="shared" si="35"/>
        <v>0.95438180930828986</v>
      </c>
      <c r="AA64" s="160">
        <f t="shared" si="36"/>
        <v>0.94691159978078532</v>
      </c>
      <c r="AB64" s="885">
        <f t="shared" si="37"/>
        <v>7.4702095275045455E-3</v>
      </c>
      <c r="AC64" s="886">
        <f t="shared" si="38"/>
        <v>0.98511538497537576</v>
      </c>
      <c r="AD64" s="7">
        <f t="shared" si="39"/>
        <v>2.6781208815058624</v>
      </c>
      <c r="AE64" s="833"/>
      <c r="AF64" s="833"/>
      <c r="AG64" s="833"/>
      <c r="AH64" s="33"/>
      <c r="AI64" s="33"/>
      <c r="AJ64" s="33"/>
      <c r="AK64" s="33"/>
      <c r="AL64" s="33"/>
      <c r="AM64" s="33"/>
      <c r="AN64" s="33"/>
      <c r="AO64" s="33"/>
      <c r="AP64" s="33"/>
      <c r="AQ64" s="33"/>
      <c r="AR64" s="33"/>
      <c r="AS64" s="33"/>
      <c r="AT64" s="33"/>
      <c r="AU64" s="33"/>
      <c r="AV64" s="33"/>
      <c r="AW64" s="33"/>
      <c r="AX64" s="33"/>
      <c r="AY64" s="33"/>
      <c r="AZ64" s="33"/>
      <c r="BA64" s="33"/>
      <c r="BB64" s="33"/>
    </row>
    <row r="65" spans="3:54" x14ac:dyDescent="0.25">
      <c r="C65" s="833">
        <v>2.7725887222398E-2</v>
      </c>
      <c r="D65">
        <f t="shared" si="43"/>
        <v>2.0000000000000136E-2</v>
      </c>
      <c r="G65"/>
      <c r="H65"/>
      <c r="I65"/>
      <c r="J65"/>
      <c r="K65"/>
      <c r="M65" s="889">
        <v>0.513862943611199</v>
      </c>
      <c r="N65" s="889">
        <v>0.513862943611199</v>
      </c>
      <c r="O65" s="4">
        <f t="shared" si="40"/>
        <v>0.486137056388801</v>
      </c>
      <c r="P65">
        <f t="shared" si="41"/>
        <v>0.52811024963353259</v>
      </c>
      <c r="Q65">
        <f t="shared" si="42"/>
        <v>0.47188975036646741</v>
      </c>
      <c r="S65" s="866">
        <f t="shared" si="44"/>
        <v>0.99999526717749421</v>
      </c>
      <c r="T65" s="866">
        <f t="shared" si="45"/>
        <v>4.732822505688883E-6</v>
      </c>
      <c r="V65" s="798">
        <f t="shared" si="31"/>
        <v>0.45983741427957414</v>
      </c>
      <c r="W65" s="668">
        <f t="shared" si="32"/>
        <v>0.48147630269417141</v>
      </c>
      <c r="X65" s="459">
        <f t="shared" si="33"/>
        <v>0.23181943005604938</v>
      </c>
      <c r="Y65" s="160">
        <f t="shared" si="34"/>
        <v>0.98147630269417141</v>
      </c>
      <c r="Z65" s="4">
        <f t="shared" si="35"/>
        <v>0.98483741427957416</v>
      </c>
      <c r="AA65" s="160">
        <f t="shared" si="36"/>
        <v>0.98147630269417141</v>
      </c>
      <c r="AB65" s="885">
        <f t="shared" si="37"/>
        <v>3.361111585402754E-3</v>
      </c>
      <c r="AC65" s="886">
        <f t="shared" si="38"/>
        <v>0.99328907390028398</v>
      </c>
      <c r="AD65" s="7">
        <f t="shared" si="39"/>
        <v>2.7001007142813562</v>
      </c>
      <c r="AH65" s="33"/>
      <c r="AI65" s="33"/>
      <c r="AJ65" s="33"/>
      <c r="AK65" s="33"/>
      <c r="AL65" s="33"/>
      <c r="AM65" s="33"/>
      <c r="AN65" s="33"/>
      <c r="AO65" s="33"/>
      <c r="AP65" s="33"/>
      <c r="AQ65" s="33"/>
      <c r="AR65" s="33"/>
      <c r="AS65" s="33"/>
      <c r="AT65" s="33"/>
      <c r="AU65" s="33"/>
      <c r="AV65" s="33"/>
      <c r="AW65" s="33"/>
      <c r="AX65" s="33"/>
      <c r="AY65" s="33"/>
      <c r="AZ65" s="33"/>
      <c r="BA65" s="33"/>
      <c r="BB65" s="33"/>
    </row>
    <row r="66" spans="3:54" x14ac:dyDescent="0.25">
      <c r="C66" s="833">
        <v>0.05</v>
      </c>
      <c r="D66">
        <f t="shared" si="43"/>
        <v>3.6067376022224089E-2</v>
      </c>
      <c r="G66"/>
      <c r="H66"/>
      <c r="I66"/>
      <c r="J66"/>
      <c r="K66"/>
      <c r="M66" s="889">
        <v>0.85546223752464423</v>
      </c>
      <c r="N66" s="889">
        <v>0.1616596282664261</v>
      </c>
      <c r="O66" s="4">
        <f t="shared" si="40"/>
        <v>0.14453776247535577</v>
      </c>
      <c r="P66">
        <f t="shared" si="41"/>
        <v>0.16614178488815581</v>
      </c>
      <c r="Q66">
        <f t="shared" si="42"/>
        <v>0.83385821511184421</v>
      </c>
      <c r="S66" s="866">
        <f>N50/SUM(N50:O50)</f>
        <v>0.31050045436764662</v>
      </c>
      <c r="T66" s="866">
        <f t="shared" si="45"/>
        <v>0.68949954563235327</v>
      </c>
      <c r="V66" s="798">
        <f t="shared" si="31"/>
        <v>0.45983741427957414</v>
      </c>
      <c r="W66" s="668">
        <f t="shared" si="32"/>
        <v>0.48147630269417141</v>
      </c>
      <c r="X66" s="459">
        <f t="shared" si="33"/>
        <v>0.23181943005604938</v>
      </c>
      <c r="Y66" s="160">
        <f t="shared" si="34"/>
        <v>0.98147630269417141</v>
      </c>
      <c r="Z66" s="4">
        <f t="shared" si="35"/>
        <v>0.98483741427957416</v>
      </c>
      <c r="AA66" s="160">
        <f t="shared" si="36"/>
        <v>0.98147630269417141</v>
      </c>
      <c r="AB66" s="885">
        <f t="shared" si="37"/>
        <v>3.361111585402754E-3</v>
      </c>
      <c r="AC66" s="886">
        <f t="shared" si="38"/>
        <v>0.99328907390028398</v>
      </c>
      <c r="AD66" s="7">
        <f t="shared" si="39"/>
        <v>2.7001007142813562</v>
      </c>
      <c r="AH66"/>
      <c r="AI66"/>
      <c r="AJ66"/>
    </row>
    <row r="67" spans="3:54" x14ac:dyDescent="0.25">
      <c r="C67" s="833">
        <v>0.2</v>
      </c>
      <c r="D67">
        <f t="shared" si="43"/>
        <v>0.14426950408889636</v>
      </c>
      <c r="G67"/>
      <c r="H67"/>
      <c r="I67"/>
      <c r="J67"/>
      <c r="K67"/>
      <c r="M67" s="889">
        <v>0.95438180930828986</v>
      </c>
      <c r="N67" s="889">
        <v>5.3507215949436304E-2</v>
      </c>
      <c r="O67" s="4">
        <f t="shared" si="40"/>
        <v>4.5618190691710137E-2</v>
      </c>
      <c r="P67">
        <f t="shared" si="41"/>
        <v>5.4990750984434872E-2</v>
      </c>
      <c r="Q67">
        <f t="shared" si="42"/>
        <v>0.94500924901556516</v>
      </c>
      <c r="S67" s="866">
        <f t="shared" si="44"/>
        <v>0.17208558999852119</v>
      </c>
      <c r="T67" s="866">
        <f t="shared" si="45"/>
        <v>0.82791441000147892</v>
      </c>
      <c r="V67" s="798">
        <f t="shared" si="31"/>
        <v>0.47499727955346149</v>
      </c>
      <c r="W67" s="668">
        <f t="shared" si="32"/>
        <v>0.49999526717749421</v>
      </c>
      <c r="X67" s="459">
        <f t="shared" si="33"/>
        <v>0.24999526719989382</v>
      </c>
      <c r="Y67" s="160">
        <f t="shared" si="34"/>
        <v>0.99999526717749421</v>
      </c>
      <c r="Z67" s="4">
        <f t="shared" si="35"/>
        <v>0.99999727955346152</v>
      </c>
      <c r="AA67" s="160">
        <f t="shared" si="36"/>
        <v>0.99999526717749421</v>
      </c>
      <c r="AB67" s="885">
        <f t="shared" si="37"/>
        <v>2.0123759673085218E-6</v>
      </c>
      <c r="AC67" s="886">
        <f t="shared" si="38"/>
        <v>0.99999597525211503</v>
      </c>
      <c r="AD67" s="7">
        <f t="shared" si="39"/>
        <v>2.7182708880820217</v>
      </c>
      <c r="AH67"/>
      <c r="AI67"/>
      <c r="AJ67"/>
    </row>
    <row r="68" spans="3:54" x14ac:dyDescent="0.25">
      <c r="C68" s="833">
        <v>0.4</v>
      </c>
      <c r="D68">
        <f t="shared" si="43"/>
        <v>0.28853900817779271</v>
      </c>
      <c r="G68"/>
      <c r="H68"/>
      <c r="I68"/>
      <c r="J68"/>
      <c r="K68"/>
      <c r="M68" s="889">
        <v>0.98483737451086495</v>
      </c>
      <c r="N68" s="889">
        <v>1.8587179382348773E-2</v>
      </c>
      <c r="O68" s="4">
        <f t="shared" si="40"/>
        <v>1.5162625489135051E-2</v>
      </c>
      <c r="P68">
        <f t="shared" si="41"/>
        <v>1.9102525421686258E-2</v>
      </c>
      <c r="Q68">
        <f t="shared" si="42"/>
        <v>0.98089747457831378</v>
      </c>
      <c r="S68" s="866">
        <f t="shared" si="44"/>
        <v>8.9398910016337998E-2</v>
      </c>
      <c r="T68" s="866">
        <f t="shared" si="45"/>
        <v>0.91060108998366196</v>
      </c>
      <c r="V68" s="798">
        <f t="shared" si="31"/>
        <v>-0.2068522163791664</v>
      </c>
      <c r="W68" s="668">
        <f t="shared" si="32"/>
        <v>-0.18949954563235338</v>
      </c>
      <c r="X68" s="459">
        <f t="shared" si="33"/>
        <v>3.5910077794868385E-2</v>
      </c>
      <c r="Y68" s="160">
        <f t="shared" si="34"/>
        <v>0.31050045436764662</v>
      </c>
      <c r="Z68" s="4">
        <f t="shared" si="35"/>
        <v>0.31814778362083362</v>
      </c>
      <c r="AA68" s="160">
        <f t="shared" si="36"/>
        <v>0.31050045436764662</v>
      </c>
      <c r="AB68" s="885">
        <f t="shared" si="37"/>
        <v>7.6473292531870074E-3</v>
      </c>
      <c r="AC68" s="886">
        <f t="shared" si="38"/>
        <v>0.98476382313833266</v>
      </c>
      <c r="AD68" s="7">
        <f t="shared" si="39"/>
        <v>2.6771795218916901</v>
      </c>
      <c r="AH68"/>
      <c r="AI68"/>
      <c r="AJ68"/>
    </row>
    <row r="69" spans="3:54" x14ac:dyDescent="0.25">
      <c r="C69" s="833">
        <v>0.99</v>
      </c>
      <c r="D69">
        <f t="shared" si="43"/>
        <v>0.71413404524003687</v>
      </c>
      <c r="G69"/>
      <c r="H69"/>
      <c r="I69"/>
      <c r="J69"/>
      <c r="K69"/>
      <c r="M69" s="889">
        <v>0.513862943611199</v>
      </c>
      <c r="N69" s="889">
        <v>0.513862943611199</v>
      </c>
      <c r="O69" s="4">
        <f>1-M69</f>
        <v>0.486137056388801</v>
      </c>
      <c r="P69">
        <f t="shared" si="41"/>
        <v>0.52811024963353259</v>
      </c>
      <c r="Q69">
        <f t="shared" si="42"/>
        <v>0.47188975036646741</v>
      </c>
      <c r="S69" s="866">
        <f t="shared" si="44"/>
        <v>0.5</v>
      </c>
      <c r="T69" s="866">
        <f t="shared" si="45"/>
        <v>0.5</v>
      </c>
      <c r="V69" s="798">
        <f t="shared" si="31"/>
        <v>-0.3498183379001259</v>
      </c>
      <c r="W69" s="668">
        <f t="shared" si="32"/>
        <v>-0.32791441000147881</v>
      </c>
      <c r="X69" s="459">
        <f t="shared" si="33"/>
        <v>0.10752786028661794</v>
      </c>
      <c r="Y69" s="160">
        <f t="shared" si="34"/>
        <v>0.17208558999852119</v>
      </c>
      <c r="Z69" s="4">
        <f t="shared" si="35"/>
        <v>0.17518166209987412</v>
      </c>
      <c r="AA69" s="160">
        <f t="shared" si="36"/>
        <v>0.17208558999852119</v>
      </c>
      <c r="AB69" s="885">
        <f t="shared" si="37"/>
        <v>3.0960721013529313E-3</v>
      </c>
      <c r="AC69" s="886">
        <f t="shared" si="38"/>
        <v>0.99381744145975104</v>
      </c>
      <c r="AD69" s="7">
        <f t="shared" si="39"/>
        <v>2.7015277368690982</v>
      </c>
      <c r="AH69"/>
      <c r="AI69"/>
      <c r="AJ69"/>
    </row>
    <row r="70" spans="3:54" x14ac:dyDescent="0.25">
      <c r="C70" s="833">
        <v>1.1000000000000001</v>
      </c>
      <c r="D70">
        <f t="shared" si="43"/>
        <v>0.79348227248893</v>
      </c>
      <c r="E70" t="s">
        <v>342</v>
      </c>
      <c r="K70" s="724"/>
      <c r="L70" s="724"/>
      <c r="M70" s="889">
        <v>0.99999727955346152</v>
      </c>
      <c r="N70" s="889">
        <v>4.7328320299522275E-6</v>
      </c>
      <c r="O70" s="4">
        <f t="shared" si="40"/>
        <v>2.7204465384844667E-6</v>
      </c>
      <c r="P70">
        <f t="shared" si="41"/>
        <v>4.8640539970572362E-6</v>
      </c>
      <c r="Q70">
        <f t="shared" si="42"/>
        <v>0.99999513594600298</v>
      </c>
      <c r="S70" s="866">
        <f t="shared" si="44"/>
        <v>0.5</v>
      </c>
      <c r="T70" s="866">
        <f t="shared" si="45"/>
        <v>0.5</v>
      </c>
      <c r="V70" s="798">
        <f t="shared" si="31"/>
        <v>-0.43456424007493183</v>
      </c>
      <c r="W70" s="668">
        <f t="shared" si="32"/>
        <v>-0.41060108998366202</v>
      </c>
      <c r="X70" s="459">
        <f t="shared" si="33"/>
        <v>0.1685932550957713</v>
      </c>
      <c r="Y70" s="160">
        <f t="shared" si="34"/>
        <v>8.9398910016337998E-2</v>
      </c>
      <c r="Z70" s="4">
        <f t="shared" si="35"/>
        <v>9.0435759925068193E-2</v>
      </c>
      <c r="AA70" s="160">
        <f t="shared" si="36"/>
        <v>8.9398910016337998E-2</v>
      </c>
      <c r="AB70" s="885">
        <f t="shared" si="37"/>
        <v>1.0368499087301947E-3</v>
      </c>
      <c r="AC70" s="886">
        <f t="shared" si="38"/>
        <v>0.99792737524027286</v>
      </c>
      <c r="AD70" s="7">
        <f t="shared" si="39"/>
        <v>2.7126536847672171</v>
      </c>
    </row>
    <row r="71" spans="3:54" x14ac:dyDescent="0.25">
      <c r="C71" t="s">
        <v>343</v>
      </c>
      <c r="M71" s="889">
        <v>0.31814778362083362</v>
      </c>
      <c r="N71" s="889">
        <v>0.7064812600588648</v>
      </c>
      <c r="O71" s="4">
        <f t="shared" si="40"/>
        <v>0.68185221637916638</v>
      </c>
      <c r="P71">
        <f t="shared" si="41"/>
        <v>0.72606907979999447</v>
      </c>
      <c r="Q71">
        <f t="shared" si="42"/>
        <v>0.27393092020000553</v>
      </c>
      <c r="S71" s="866">
        <f>N55/SUM(N55:O55)</f>
        <v>0.5</v>
      </c>
      <c r="T71" s="866">
        <f t="shared" si="45"/>
        <v>0.5</v>
      </c>
      <c r="V71" s="798">
        <f t="shared" si="31"/>
        <v>-1.1137056388801025E-2</v>
      </c>
      <c r="W71" s="668">
        <f t="shared" si="32"/>
        <v>0</v>
      </c>
      <c r="X71" s="459">
        <f t="shared" si="33"/>
        <v>0</v>
      </c>
      <c r="Y71" s="160">
        <f t="shared" si="34"/>
        <v>0.5</v>
      </c>
      <c r="Z71" s="4">
        <f t="shared" si="35"/>
        <v>0.513862943611199</v>
      </c>
      <c r="AA71" s="160">
        <f t="shared" si="36"/>
        <v>0.5</v>
      </c>
      <c r="AB71" s="885">
        <f t="shared" si="37"/>
        <v>1.3862943611198997E-2</v>
      </c>
      <c r="AC71" s="886">
        <f t="shared" si="38"/>
        <v>0.97246629398316931</v>
      </c>
      <c r="AD71" s="7">
        <f t="shared" si="39"/>
        <v>2.6444584352901925</v>
      </c>
    </row>
    <row r="72" spans="3:54" x14ac:dyDescent="0.25">
      <c r="M72" s="889">
        <v>0.17518166209987412</v>
      </c>
      <c r="N72" s="889">
        <v>0.84280980424765417</v>
      </c>
      <c r="O72" s="4">
        <f t="shared" si="40"/>
        <v>0.82481833790012593</v>
      </c>
      <c r="P72">
        <f t="shared" si="41"/>
        <v>0.86617745383015599</v>
      </c>
      <c r="Q72">
        <f t="shared" si="42"/>
        <v>0.13382254616984401</v>
      </c>
      <c r="S72" s="866"/>
      <c r="T72" s="866"/>
      <c r="V72" s="798">
        <f t="shared" si="31"/>
        <v>-1.1137056388801025E-2</v>
      </c>
      <c r="W72" s="668">
        <f t="shared" si="32"/>
        <v>0</v>
      </c>
      <c r="X72" s="459">
        <f t="shared" si="33"/>
        <v>0</v>
      </c>
      <c r="Y72" s="160">
        <f t="shared" si="34"/>
        <v>0.5</v>
      </c>
      <c r="Z72" s="4">
        <f t="shared" si="35"/>
        <v>0.513862943611199</v>
      </c>
      <c r="AA72" s="160">
        <f t="shared" si="36"/>
        <v>0.5</v>
      </c>
      <c r="AB72" s="885">
        <f t="shared" si="37"/>
        <v>1.3862943611198997E-2</v>
      </c>
      <c r="AC72" s="886">
        <f t="shared" si="38"/>
        <v>0.97246629398316931</v>
      </c>
      <c r="AD72" s="7">
        <f t="shared" si="39"/>
        <v>2.6444584352901925</v>
      </c>
    </row>
    <row r="73" spans="3:54" x14ac:dyDescent="0.25">
      <c r="M73" s="889">
        <v>9.0435759925068193E-2</v>
      </c>
      <c r="N73" s="889">
        <v>0.92116225517982175</v>
      </c>
      <c r="O73" s="4">
        <f t="shared" si="40"/>
        <v>0.90956424007493175</v>
      </c>
      <c r="P73">
        <f t="shared" si="41"/>
        <v>0.94670229598046729</v>
      </c>
      <c r="Q73">
        <f t="shared" si="42"/>
        <v>5.329770401953271E-2</v>
      </c>
      <c r="S73" s="866"/>
      <c r="T73" s="866"/>
      <c r="V73" s="798">
        <f t="shared" si="31"/>
        <v>-1.1137056388801025E-2</v>
      </c>
      <c r="W73" s="668">
        <f t="shared" si="32"/>
        <v>0</v>
      </c>
      <c r="X73" s="459">
        <f t="shared" si="33"/>
        <v>0</v>
      </c>
      <c r="Y73" s="160">
        <f t="shared" si="34"/>
        <v>0.5</v>
      </c>
      <c r="Z73" s="4">
        <f t="shared" si="35"/>
        <v>0.513862943611199</v>
      </c>
      <c r="AA73" s="160">
        <f t="shared" si="36"/>
        <v>0.5</v>
      </c>
      <c r="AB73" s="885">
        <f t="shared" si="37"/>
        <v>1.3862943611198997E-2</v>
      </c>
      <c r="AC73" s="886">
        <f t="shared" si="38"/>
        <v>0.97246629398316931</v>
      </c>
      <c r="AD73" s="7">
        <f t="shared" si="39"/>
        <v>2.6444584352901925</v>
      </c>
    </row>
    <row r="74" spans="3:54" x14ac:dyDescent="0.25">
      <c r="E74" s="84" t="s">
        <v>45</v>
      </c>
      <c r="F74" s="84" t="s">
        <v>344</v>
      </c>
      <c r="G74" s="724" t="s">
        <v>345</v>
      </c>
      <c r="H74" s="84" t="str">
        <f>F74</f>
        <v>Log(Depth)</v>
      </c>
      <c r="I74" s="724" t="s">
        <v>346</v>
      </c>
      <c r="J74" s="724" t="s">
        <v>347</v>
      </c>
      <c r="K74" s="724" t="s">
        <v>266</v>
      </c>
      <c r="L74" s="724" t="s">
        <v>348</v>
      </c>
      <c r="M74" s="889">
        <v>4.5578192494926784E-2</v>
      </c>
      <c r="N74" s="889">
        <v>0.96140273666368914</v>
      </c>
      <c r="O74" s="4">
        <f t="shared" si="40"/>
        <v>0.95442180750507322</v>
      </c>
      <c r="P74">
        <f t="shared" si="41"/>
        <v>0.98805848051573142</v>
      </c>
      <c r="Q74">
        <f t="shared" si="42"/>
        <v>1.1941519484268581E-2</v>
      </c>
      <c r="S74" s="866"/>
      <c r="T74" s="866"/>
      <c r="AC74" s="7"/>
    </row>
    <row r="75" spans="3:54" x14ac:dyDescent="0.25">
      <c r="E75" s="84">
        <v>1</v>
      </c>
      <c r="F75" s="834">
        <f t="shared" ref="F75:F90" si="46">LN(P40)-1</f>
        <v>0.63678639723971031</v>
      </c>
      <c r="G75" s="724">
        <f t="shared" ref="G75:G90" si="47">N15</f>
        <v>0.5</v>
      </c>
      <c r="H75" s="834">
        <f t="shared" ref="H75:H90" si="48">F75</f>
        <v>0.63678639723971031</v>
      </c>
      <c r="I75" s="724">
        <f t="shared" ref="I75:I90" si="49">N40</f>
        <v>0.513862943611199</v>
      </c>
      <c r="J75" s="724">
        <f t="shared" ref="J75:J90" si="50">S40</f>
        <v>0.5</v>
      </c>
      <c r="K75" s="724">
        <f t="shared" ref="K75:K90" si="51">I75-G75</f>
        <v>1.3862943611198997E-2</v>
      </c>
      <c r="L75" s="724">
        <f t="shared" ref="L75:L90" si="52">J75-G75</f>
        <v>0</v>
      </c>
      <c r="S75" s="866"/>
      <c r="T75" s="866"/>
      <c r="AC75" s="7"/>
    </row>
    <row r="76" spans="3:54" x14ac:dyDescent="0.25">
      <c r="E76" s="84">
        <v>2</v>
      </c>
      <c r="F76" s="834">
        <f t="shared" si="46"/>
        <v>0.81462718759901964</v>
      </c>
      <c r="G76" s="724">
        <f t="shared" si="47"/>
        <v>0.99662240835047589</v>
      </c>
      <c r="H76" s="834">
        <f t="shared" si="48"/>
        <v>0.81462718759901964</v>
      </c>
      <c r="I76" s="724">
        <f t="shared" si="49"/>
        <v>0.99471429846963599</v>
      </c>
      <c r="J76" s="724">
        <f t="shared" si="50"/>
        <v>0.99397854808963704</v>
      </c>
      <c r="K76" s="724">
        <f t="shared" si="51"/>
        <v>-1.9081098808398922E-3</v>
      </c>
      <c r="L76" s="724">
        <f t="shared" si="52"/>
        <v>-2.6438602608388484E-3</v>
      </c>
      <c r="S76" s="866"/>
      <c r="T76" s="866"/>
      <c r="AC76" s="7"/>
    </row>
    <row r="77" spans="3:54" x14ac:dyDescent="0.25">
      <c r="E77" s="84">
        <v>3</v>
      </c>
      <c r="F77" s="834">
        <f t="shared" si="46"/>
        <v>0.9655428903769836</v>
      </c>
      <c r="G77" s="724">
        <f t="shared" si="47"/>
        <v>0.99997731432891135</v>
      </c>
      <c r="H77" s="834">
        <f t="shared" si="48"/>
        <v>0.9655428903769836</v>
      </c>
      <c r="I77" s="724">
        <f t="shared" si="49"/>
        <v>0.99988001530026538</v>
      </c>
      <c r="J77" s="724">
        <f t="shared" si="50"/>
        <v>0.99985072937371755</v>
      </c>
      <c r="K77" s="724">
        <f t="shared" si="51"/>
        <v>-9.7299028645969621E-5</v>
      </c>
      <c r="L77" s="724">
        <f t="shared" si="52"/>
        <v>-1.2658495519379809E-4</v>
      </c>
      <c r="S77" s="866"/>
      <c r="T77" s="866"/>
    </row>
    <row r="78" spans="3:54" x14ac:dyDescent="0.25">
      <c r="E78" s="84">
        <v>4</v>
      </c>
      <c r="F78" s="834">
        <f t="shared" si="46"/>
        <v>1.0966413755533355</v>
      </c>
      <c r="G78" s="724">
        <f t="shared" si="47"/>
        <v>0.99999984716940182</v>
      </c>
      <c r="H78" s="834">
        <f t="shared" si="48"/>
        <v>1.0966413755533355</v>
      </c>
      <c r="I78" s="724">
        <f t="shared" si="49"/>
        <v>0.99999518779967045</v>
      </c>
      <c r="J78" s="724">
        <f t="shared" si="50"/>
        <v>0.99999350672434428</v>
      </c>
      <c r="K78" s="724">
        <f t="shared" si="51"/>
        <v>-4.6593697313745963E-6</v>
      </c>
      <c r="L78" s="724">
        <f t="shared" si="52"/>
        <v>-6.3404450575399451E-6</v>
      </c>
      <c r="S78" s="866"/>
      <c r="T78" s="866"/>
    </row>
    <row r="79" spans="3:54" x14ac:dyDescent="0.25">
      <c r="E79" s="84">
        <v>5</v>
      </c>
      <c r="F79" s="834">
        <f t="shared" si="46"/>
        <v>2.0230807583596011</v>
      </c>
      <c r="G79" s="724">
        <f t="shared" si="47"/>
        <v>0.5</v>
      </c>
      <c r="H79" s="834">
        <f t="shared" si="48"/>
        <v>2.0230807583596011</v>
      </c>
      <c r="I79" s="724">
        <f t="shared" si="49"/>
        <v>0.513862943611199</v>
      </c>
      <c r="J79" s="724">
        <f t="shared" si="50"/>
        <v>0.5</v>
      </c>
      <c r="K79" s="724">
        <f t="shared" si="51"/>
        <v>1.3862943611198997E-2</v>
      </c>
      <c r="L79" s="724">
        <f t="shared" si="52"/>
        <v>0</v>
      </c>
      <c r="S79" s="866"/>
      <c r="T79" s="866"/>
    </row>
    <row r="80" spans="3:54" x14ac:dyDescent="0.25">
      <c r="E80" s="84">
        <v>6</v>
      </c>
      <c r="F80" s="834">
        <f t="shared" si="46"/>
        <v>2.07058545144793</v>
      </c>
      <c r="G80" s="724">
        <f t="shared" si="47"/>
        <v>0.99916259229434723</v>
      </c>
      <c r="H80" s="834">
        <f t="shared" si="48"/>
        <v>2.07058545144793</v>
      </c>
      <c r="I80" s="724">
        <f t="shared" si="49"/>
        <v>0.85546223752464423</v>
      </c>
      <c r="J80" s="724">
        <f t="shared" si="50"/>
        <v>0.84690130462910906</v>
      </c>
      <c r="K80" s="724">
        <f t="shared" si="51"/>
        <v>-0.143700354769703</v>
      </c>
      <c r="L80" s="724">
        <f t="shared" si="52"/>
        <v>-0.15226128766523817</v>
      </c>
    </row>
    <row r="81" spans="5:29" x14ac:dyDescent="0.25">
      <c r="E81" s="84">
        <v>7</v>
      </c>
      <c r="F81" s="834">
        <f t="shared" si="46"/>
        <v>2.1159354053470469</v>
      </c>
      <c r="G81" s="724">
        <f t="shared" si="47"/>
        <v>0.99999647805087943</v>
      </c>
      <c r="H81" s="834">
        <f t="shared" si="48"/>
        <v>2.1159354053470469</v>
      </c>
      <c r="I81" s="724">
        <f t="shared" si="49"/>
        <v>0.95438180930828986</v>
      </c>
      <c r="J81" s="724">
        <f t="shared" si="50"/>
        <v>0.95043729667942678</v>
      </c>
      <c r="K81" s="724">
        <f t="shared" si="51"/>
        <v>-4.561466874258957E-2</v>
      </c>
      <c r="L81" s="724">
        <f t="shared" si="52"/>
        <v>-4.9559181371452654E-2</v>
      </c>
    </row>
    <row r="82" spans="5:29" x14ac:dyDescent="0.25">
      <c r="E82" s="84">
        <v>8</v>
      </c>
      <c r="F82" s="834">
        <f t="shared" si="46"/>
        <v>2.1593177571036133</v>
      </c>
      <c r="G82" s="724">
        <f t="shared" si="47"/>
        <v>0.99999997941088115</v>
      </c>
      <c r="H82" s="834">
        <f t="shared" si="48"/>
        <v>2.1593177571036133</v>
      </c>
      <c r="I82" s="724">
        <f t="shared" si="49"/>
        <v>0.98483741427957416</v>
      </c>
      <c r="J82" s="724">
        <f t="shared" si="50"/>
        <v>0.98312514085219926</v>
      </c>
      <c r="K82" s="724">
        <f t="shared" si="51"/>
        <v>-1.5162565131306982E-2</v>
      </c>
      <c r="L82" s="724">
        <f t="shared" si="52"/>
        <v>-1.6874838558681882E-2</v>
      </c>
    </row>
    <row r="83" spans="5:29" x14ac:dyDescent="0.25">
      <c r="E83" s="84">
        <v>9</v>
      </c>
      <c r="F83" s="834">
        <f t="shared" si="46"/>
        <v>2.8524649376635582</v>
      </c>
      <c r="G83" s="724">
        <f t="shared" si="47"/>
        <v>0.99999999999999956</v>
      </c>
      <c r="H83" s="834">
        <f t="shared" si="48"/>
        <v>2.8524649376635582</v>
      </c>
      <c r="I83" s="724">
        <f t="shared" si="49"/>
        <v>0.98483741427957416</v>
      </c>
      <c r="J83" s="724">
        <f t="shared" si="50"/>
        <v>0.98312514085219926</v>
      </c>
      <c r="K83" s="724">
        <f t="shared" si="51"/>
        <v>-1.5162585720425392E-2</v>
      </c>
      <c r="L83" s="724">
        <f t="shared" si="52"/>
        <v>-1.6874859147800292E-2</v>
      </c>
    </row>
    <row r="84" spans="5:29" x14ac:dyDescent="0.25">
      <c r="E84" s="84">
        <v>10</v>
      </c>
      <c r="F84" s="834">
        <f t="shared" si="46"/>
        <v>1.9957323928066635</v>
      </c>
      <c r="G84" s="724">
        <f t="shared" si="47"/>
        <v>1</v>
      </c>
      <c r="H84" s="834">
        <f t="shared" si="48"/>
        <v>1.9957323928066635</v>
      </c>
      <c r="I84" s="724">
        <f t="shared" si="49"/>
        <v>0.99999727955346152</v>
      </c>
      <c r="J84" s="724">
        <f t="shared" si="50"/>
        <v>0.99999627336071573</v>
      </c>
      <c r="K84" s="724">
        <f t="shared" si="51"/>
        <v>-2.7204465384844667E-6</v>
      </c>
      <c r="L84" s="724">
        <f t="shared" si="52"/>
        <v>-3.7266392842738583E-6</v>
      </c>
    </row>
    <row r="85" spans="5:29" x14ac:dyDescent="0.25">
      <c r="E85" s="84">
        <v>11</v>
      </c>
      <c r="F85" s="834">
        <f t="shared" si="46"/>
        <v>2.448251200222316</v>
      </c>
      <c r="G85" s="724">
        <f t="shared" si="47"/>
        <v>6.6928509242848554E-3</v>
      </c>
      <c r="H85" s="834">
        <f t="shared" si="48"/>
        <v>2.448251200222316</v>
      </c>
      <c r="I85" s="724">
        <f t="shared" si="49"/>
        <v>0.31814778362083362</v>
      </c>
      <c r="J85" s="724">
        <f t="shared" si="50"/>
        <v>0.30583326178098436</v>
      </c>
      <c r="K85" s="724">
        <f t="shared" si="51"/>
        <v>0.31145493269654878</v>
      </c>
      <c r="L85" s="724">
        <f t="shared" si="52"/>
        <v>0.29914041085669951</v>
      </c>
    </row>
    <row r="86" spans="5:29" x14ac:dyDescent="0.25">
      <c r="E86" s="84">
        <v>12</v>
      </c>
      <c r="F86" s="834">
        <f t="shared" si="46"/>
        <v>2.4727538318933631</v>
      </c>
      <c r="G86" s="724">
        <f t="shared" si="47"/>
        <v>4.5397868702434395E-5</v>
      </c>
      <c r="H86" s="834">
        <f t="shared" si="48"/>
        <v>2.4727538318933631</v>
      </c>
      <c r="I86" s="724">
        <f t="shared" si="49"/>
        <v>0.17518166209987412</v>
      </c>
      <c r="J86" s="724">
        <f t="shared" si="50"/>
        <v>0.16618592892611</v>
      </c>
      <c r="K86" s="724">
        <f t="shared" si="51"/>
        <v>0.17513626423117168</v>
      </c>
      <c r="L86" s="724">
        <f t="shared" si="52"/>
        <v>0.16614053105740756</v>
      </c>
    </row>
    <row r="87" spans="5:29" x14ac:dyDescent="0.25">
      <c r="E87" s="84">
        <v>13</v>
      </c>
      <c r="F87" s="834">
        <f t="shared" si="46"/>
        <v>2.4998784559966865</v>
      </c>
      <c r="G87" s="724">
        <f t="shared" si="47"/>
        <v>3.0590222692562477E-7</v>
      </c>
      <c r="H87" s="834">
        <f t="shared" si="48"/>
        <v>2.4998784559966865</v>
      </c>
      <c r="I87" s="724">
        <f t="shared" si="49"/>
        <v>9.0435759925068193E-2</v>
      </c>
      <c r="J87" s="724">
        <f t="shared" si="50"/>
        <v>8.4636752372623192E-2</v>
      </c>
      <c r="K87" s="724">
        <f t="shared" si="51"/>
        <v>9.0435454022841269E-2</v>
      </c>
      <c r="L87" s="724">
        <f t="shared" si="52"/>
        <v>8.4636446470396268E-2</v>
      </c>
    </row>
    <row r="88" spans="5:29" x14ac:dyDescent="0.25">
      <c r="E88" s="84">
        <v>14</v>
      </c>
      <c r="F88" s="834">
        <f t="shared" si="46"/>
        <v>2.0230807583596011</v>
      </c>
      <c r="G88" s="724">
        <f t="shared" si="47"/>
        <v>0.5</v>
      </c>
      <c r="H88" s="834">
        <f t="shared" si="48"/>
        <v>2.0230807583596011</v>
      </c>
      <c r="I88" s="724">
        <f t="shared" si="49"/>
        <v>0.513862943611199</v>
      </c>
      <c r="J88" s="724">
        <f t="shared" si="50"/>
        <v>0.5</v>
      </c>
      <c r="K88" s="724">
        <f t="shared" si="51"/>
        <v>1.3862943611198997E-2</v>
      </c>
      <c r="L88" s="724">
        <f t="shared" si="52"/>
        <v>0</v>
      </c>
      <c r="M88" s="84"/>
      <c r="N88" s="84"/>
    </row>
    <row r="89" spans="5:29" x14ac:dyDescent="0.25">
      <c r="E89" s="84">
        <v>15</v>
      </c>
      <c r="F89" s="834">
        <f t="shared" si="46"/>
        <v>1.9717874639720505</v>
      </c>
      <c r="G89" s="724">
        <f t="shared" si="47"/>
        <v>0.5</v>
      </c>
      <c r="H89" s="834">
        <f t="shared" si="48"/>
        <v>1.9717874639720505</v>
      </c>
      <c r="I89" s="724">
        <f t="shared" si="49"/>
        <v>0.513862943611199</v>
      </c>
      <c r="J89" s="724">
        <f t="shared" si="50"/>
        <v>0.5</v>
      </c>
      <c r="K89" s="724">
        <f t="shared" si="51"/>
        <v>1.3862943611198997E-2</v>
      </c>
      <c r="L89" s="724">
        <f t="shared" si="52"/>
        <v>0</v>
      </c>
      <c r="M89" s="84"/>
      <c r="N89" s="84"/>
    </row>
    <row r="90" spans="5:29" x14ac:dyDescent="0.25">
      <c r="E90" s="84">
        <v>16</v>
      </c>
      <c r="F90" s="834">
        <f t="shared" si="46"/>
        <v>2.0230807583596011</v>
      </c>
      <c r="G90" s="724">
        <f t="shared" si="47"/>
        <v>0.5</v>
      </c>
      <c r="H90" s="834">
        <f t="shared" si="48"/>
        <v>2.0230807583596011</v>
      </c>
      <c r="I90" s="724">
        <f t="shared" si="49"/>
        <v>0.513862943611199</v>
      </c>
      <c r="J90" s="724">
        <f t="shared" si="50"/>
        <v>0.5</v>
      </c>
      <c r="K90" s="724">
        <f t="shared" si="51"/>
        <v>1.3862943611198997E-2</v>
      </c>
      <c r="L90" s="724">
        <f t="shared" si="52"/>
        <v>0</v>
      </c>
    </row>
    <row r="94" spans="5:29" x14ac:dyDescent="0.25">
      <c r="AB94">
        <v>1</v>
      </c>
      <c r="AC94">
        <f>LN(AB94)</f>
        <v>0</v>
      </c>
    </row>
    <row r="95" spans="5:29" x14ac:dyDescent="0.25">
      <c r="AB95">
        <v>2</v>
      </c>
      <c r="AC95">
        <f t="shared" ref="AC95:AC103" si="53">LN(AB95)</f>
        <v>0.69314718055994529</v>
      </c>
    </row>
    <row r="96" spans="5:29" x14ac:dyDescent="0.25">
      <c r="AB96">
        <v>3</v>
      </c>
      <c r="AC96">
        <f t="shared" si="53"/>
        <v>1.0986122886681098</v>
      </c>
    </row>
    <row r="97" spans="28:29" x14ac:dyDescent="0.25">
      <c r="AB97">
        <v>4</v>
      </c>
      <c r="AC97">
        <f t="shared" si="53"/>
        <v>1.3862943611198906</v>
      </c>
    </row>
    <row r="98" spans="28:29" x14ac:dyDescent="0.25">
      <c r="AB98">
        <v>5</v>
      </c>
      <c r="AC98">
        <f t="shared" si="53"/>
        <v>1.6094379124341003</v>
      </c>
    </row>
    <row r="99" spans="28:29" x14ac:dyDescent="0.25">
      <c r="AB99">
        <v>6</v>
      </c>
      <c r="AC99">
        <f t="shared" si="53"/>
        <v>1.791759469228055</v>
      </c>
    </row>
    <row r="100" spans="28:29" x14ac:dyDescent="0.25">
      <c r="AB100">
        <v>7</v>
      </c>
      <c r="AC100">
        <f t="shared" si="53"/>
        <v>1.9459101490553132</v>
      </c>
    </row>
    <row r="101" spans="28:29" x14ac:dyDescent="0.25">
      <c r="AB101">
        <v>8</v>
      </c>
      <c r="AC101">
        <f t="shared" si="53"/>
        <v>2.0794415416798357</v>
      </c>
    </row>
    <row r="102" spans="28:29" x14ac:dyDescent="0.25">
      <c r="AB102">
        <v>9</v>
      </c>
      <c r="AC102">
        <f>LN(AB102)</f>
        <v>2.1972245773362196</v>
      </c>
    </row>
    <row r="103" spans="28:29" x14ac:dyDescent="0.25">
      <c r="AB103">
        <v>10</v>
      </c>
      <c r="AC103">
        <f t="shared" si="53"/>
        <v>2.3025850929940459</v>
      </c>
    </row>
  </sheetData>
  <mergeCells count="9">
    <mergeCell ref="Z38:AA38"/>
    <mergeCell ref="B39:B56"/>
    <mergeCell ref="S39:T39"/>
    <mergeCell ref="C4:C6"/>
    <mergeCell ref="C8:C11"/>
    <mergeCell ref="J10:L10"/>
    <mergeCell ref="Z13:AA13"/>
    <mergeCell ref="B14:B31"/>
    <mergeCell ref="S14:T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sheetPr>
  <dimension ref="B2:G32"/>
  <sheetViews>
    <sheetView workbookViewId="0">
      <selection activeCell="E1" sqref="E1"/>
    </sheetView>
  </sheetViews>
  <sheetFormatPr defaultRowHeight="15" x14ac:dyDescent="0.25"/>
  <cols>
    <col min="2" max="2" width="21.7109375" customWidth="1"/>
    <col min="3" max="5" width="12" bestFit="1" customWidth="1"/>
  </cols>
  <sheetData>
    <row r="2" spans="2:7" ht="21" x14ac:dyDescent="0.35">
      <c r="B2" s="899" t="s">
        <v>425</v>
      </c>
    </row>
    <row r="4" spans="2:7" x14ac:dyDescent="0.25">
      <c r="B4" t="s">
        <v>426</v>
      </c>
    </row>
    <row r="7" spans="2:7" ht="15.75" thickBot="1" x14ac:dyDescent="0.3">
      <c r="C7" t="s">
        <v>367</v>
      </c>
      <c r="D7" t="s">
        <v>420</v>
      </c>
      <c r="E7" t="s">
        <v>368</v>
      </c>
    </row>
    <row r="8" spans="2:7" x14ac:dyDescent="0.25">
      <c r="B8" t="s">
        <v>418</v>
      </c>
      <c r="C8" s="9">
        <v>500</v>
      </c>
      <c r="D8" s="10">
        <v>3000</v>
      </c>
      <c r="E8" s="11">
        <v>5000</v>
      </c>
      <c r="G8" t="s">
        <v>427</v>
      </c>
    </row>
    <row r="9" spans="2:7" x14ac:dyDescent="0.25">
      <c r="B9" t="s">
        <v>422</v>
      </c>
      <c r="C9" s="114">
        <f>LN(C8)</f>
        <v>6.2146080984221914</v>
      </c>
      <c r="D9" s="7">
        <f>LN(D8)</f>
        <v>8.0063675676502459</v>
      </c>
      <c r="E9" s="100">
        <f>LN(E8)</f>
        <v>8.5171931914162382</v>
      </c>
      <c r="G9" t="s">
        <v>428</v>
      </c>
    </row>
    <row r="10" spans="2:7" x14ac:dyDescent="0.25">
      <c r="B10" t="s">
        <v>419</v>
      </c>
      <c r="C10" s="114">
        <f>C9-$C9</f>
        <v>0</v>
      </c>
      <c r="D10" s="7">
        <f>D9-$C9</f>
        <v>1.7917594692280545</v>
      </c>
      <c r="E10" s="100">
        <f>E9-$C9</f>
        <v>2.3025850929940468</v>
      </c>
      <c r="G10" t="s">
        <v>430</v>
      </c>
    </row>
    <row r="11" spans="2:7" ht="15.75" thickBot="1" x14ac:dyDescent="0.3">
      <c r="B11" t="s">
        <v>421</v>
      </c>
      <c r="C11" s="119">
        <f>C10/$E10</f>
        <v>0</v>
      </c>
      <c r="D11" s="166">
        <f>D10/$E10</f>
        <v>0.77815125038364308</v>
      </c>
      <c r="E11" s="102">
        <f>E10/$E10</f>
        <v>1</v>
      </c>
      <c r="G11" t="s">
        <v>429</v>
      </c>
    </row>
    <row r="14" spans="2:7" ht="15.75" thickBot="1" x14ac:dyDescent="0.3">
      <c r="C14" t="s">
        <v>367</v>
      </c>
      <c r="D14" t="s">
        <v>420</v>
      </c>
      <c r="E14" t="s">
        <v>368</v>
      </c>
    </row>
    <row r="15" spans="2:7" x14ac:dyDescent="0.25">
      <c r="B15" t="s">
        <v>418</v>
      </c>
      <c r="C15" s="9">
        <v>500</v>
      </c>
      <c r="D15" s="10">
        <v>3000</v>
      </c>
      <c r="E15" s="11">
        <v>5000</v>
      </c>
    </row>
    <row r="16" spans="2:7" x14ac:dyDescent="0.25">
      <c r="B16" t="s">
        <v>423</v>
      </c>
      <c r="C16" s="114">
        <f>C15^2</f>
        <v>250000</v>
      </c>
      <c r="D16" s="7">
        <f>D15^2</f>
        <v>9000000</v>
      </c>
      <c r="E16" s="100">
        <f>E15^2</f>
        <v>25000000</v>
      </c>
    </row>
    <row r="17" spans="2:5" x14ac:dyDescent="0.25">
      <c r="B17" t="s">
        <v>419</v>
      </c>
      <c r="C17" s="114">
        <f>C16-$C16</f>
        <v>0</v>
      </c>
      <c r="D17" s="7">
        <f>D16-$C16</f>
        <v>8750000</v>
      </c>
      <c r="E17" s="100">
        <f>E16-$C16</f>
        <v>24750000</v>
      </c>
    </row>
    <row r="18" spans="2:5" ht="15.75" thickBot="1" x14ac:dyDescent="0.3">
      <c r="B18" t="s">
        <v>421</v>
      </c>
      <c r="C18" s="119">
        <f>C17/$E17</f>
        <v>0</v>
      </c>
      <c r="D18" s="166">
        <f>D17/$E17</f>
        <v>0.35353535353535354</v>
      </c>
      <c r="E18" s="102">
        <f>E17/$E17</f>
        <v>1</v>
      </c>
    </row>
    <row r="21" spans="2:5" ht="15.75" thickBot="1" x14ac:dyDescent="0.3">
      <c r="C21" t="s">
        <v>367</v>
      </c>
      <c r="D21" t="s">
        <v>420</v>
      </c>
      <c r="E21" t="s">
        <v>368</v>
      </c>
    </row>
    <row r="22" spans="2:5" x14ac:dyDescent="0.25">
      <c r="B22" t="s">
        <v>418</v>
      </c>
      <c r="C22" s="9">
        <v>200</v>
      </c>
      <c r="D22" s="10">
        <v>210</v>
      </c>
      <c r="E22" s="11">
        <v>250</v>
      </c>
    </row>
    <row r="23" spans="2:5" x14ac:dyDescent="0.25">
      <c r="B23" t="s">
        <v>423</v>
      </c>
      <c r="C23" s="114">
        <f>C22^2</f>
        <v>40000</v>
      </c>
      <c r="D23" s="7">
        <f>D22^2</f>
        <v>44100</v>
      </c>
      <c r="E23" s="100">
        <f>E22^2</f>
        <v>62500</v>
      </c>
    </row>
    <row r="24" spans="2:5" x14ac:dyDescent="0.25">
      <c r="B24" t="s">
        <v>419</v>
      </c>
      <c r="C24" s="114">
        <f>C23-$C23</f>
        <v>0</v>
      </c>
      <c r="D24" s="7">
        <f>D23-$C23</f>
        <v>4100</v>
      </c>
      <c r="E24" s="100">
        <f>E23-$C23</f>
        <v>22500</v>
      </c>
    </row>
    <row r="25" spans="2:5" ht="15.75" thickBot="1" x14ac:dyDescent="0.3">
      <c r="B25" t="s">
        <v>421</v>
      </c>
      <c r="C25" s="119">
        <f>C24/$E24</f>
        <v>0</v>
      </c>
      <c r="D25" s="166">
        <f>D24/$E24</f>
        <v>0.18222222222222223</v>
      </c>
      <c r="E25" s="102">
        <f>E24/$E24</f>
        <v>1</v>
      </c>
    </row>
    <row r="28" spans="2:5" ht="15.75" thickBot="1" x14ac:dyDescent="0.3">
      <c r="C28" t="s">
        <v>367</v>
      </c>
      <c r="D28" t="s">
        <v>420</v>
      </c>
      <c r="E28" t="s">
        <v>368</v>
      </c>
    </row>
    <row r="29" spans="2:5" x14ac:dyDescent="0.25">
      <c r="B29" t="s">
        <v>418</v>
      </c>
      <c r="C29" s="9">
        <v>1</v>
      </c>
      <c r="D29" s="10">
        <v>1.2</v>
      </c>
      <c r="E29" s="11">
        <v>1.5</v>
      </c>
    </row>
    <row r="30" spans="2:5" x14ac:dyDescent="0.25">
      <c r="B30" t="s">
        <v>424</v>
      </c>
      <c r="C30" s="114">
        <f>EXP(C29)</f>
        <v>2.7182818284590451</v>
      </c>
      <c r="D30" s="7">
        <f>EXP(D29)</f>
        <v>3.3201169227365472</v>
      </c>
      <c r="E30" s="100">
        <f>EXP(E29)</f>
        <v>4.4816890703380645</v>
      </c>
    </row>
    <row r="31" spans="2:5" x14ac:dyDescent="0.25">
      <c r="B31" t="s">
        <v>419</v>
      </c>
      <c r="C31" s="114">
        <f>C30-$C30</f>
        <v>0</v>
      </c>
      <c r="D31" s="7">
        <f>D30-$C30</f>
        <v>0.60183509427750215</v>
      </c>
      <c r="E31" s="100">
        <f>E30-$C30</f>
        <v>1.7634072418790194</v>
      </c>
    </row>
    <row r="32" spans="2:5" ht="15.75" thickBot="1" x14ac:dyDescent="0.3">
      <c r="B32" t="s">
        <v>421</v>
      </c>
      <c r="C32" s="119">
        <f>C31/$E31</f>
        <v>0</v>
      </c>
      <c r="D32" s="166">
        <f>D31/$E31</f>
        <v>0.34129104156122758</v>
      </c>
      <c r="E32" s="102">
        <f>E31/$E31</f>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B2:AH137"/>
  <sheetViews>
    <sheetView zoomScale="80" zoomScaleNormal="80" workbookViewId="0">
      <selection activeCell="P12" sqref="P12"/>
    </sheetView>
  </sheetViews>
  <sheetFormatPr defaultRowHeight="15" x14ac:dyDescent="0.25"/>
  <cols>
    <col min="2" max="2" width="10" customWidth="1"/>
    <col min="3" max="7" width="11.42578125" style="33" customWidth="1"/>
    <col min="8" max="8" width="12.28515625" style="33" customWidth="1"/>
    <col min="9" max="9" width="12.7109375" style="33" customWidth="1"/>
    <col min="10" max="11" width="12" style="33" customWidth="1"/>
    <col min="12" max="12" width="9.42578125" customWidth="1"/>
    <col min="13" max="16" width="12.85546875" customWidth="1"/>
    <col min="17" max="17" width="12.140625" customWidth="1"/>
    <col min="18" max="19" width="11.7109375" customWidth="1"/>
    <col min="20" max="20" width="13" customWidth="1"/>
    <col min="21" max="21" width="9.42578125" customWidth="1"/>
  </cols>
  <sheetData>
    <row r="2" spans="2:16" ht="31.5" x14ac:dyDescent="0.5">
      <c r="B2" s="186" t="s">
        <v>559</v>
      </c>
    </row>
    <row r="3" spans="2:16" ht="17.25" customHeight="1" x14ac:dyDescent="0.5">
      <c r="B3" s="186"/>
      <c r="C3" s="33" t="s">
        <v>811</v>
      </c>
    </row>
    <row r="4" spans="2:16" ht="17.25" customHeight="1" x14ac:dyDescent="0.5">
      <c r="B4" s="186"/>
      <c r="K4" s="17"/>
      <c r="L4" s="7"/>
      <c r="M4" s="7"/>
      <c r="N4" s="7"/>
      <c r="O4" s="7"/>
      <c r="P4" s="7"/>
    </row>
    <row r="5" spans="2:16" ht="17.25" customHeight="1" x14ac:dyDescent="0.25">
      <c r="B5" s="1564" t="s">
        <v>159</v>
      </c>
      <c r="C5" s="150" t="s">
        <v>101</v>
      </c>
      <c r="D5" s="150" t="s">
        <v>644</v>
      </c>
      <c r="E5" s="150"/>
      <c r="F5" s="264"/>
      <c r="G5" s="264"/>
      <c r="H5" s="264"/>
      <c r="I5" s="264"/>
      <c r="J5" s="264"/>
      <c r="K5" s="264"/>
      <c r="L5" s="150"/>
      <c r="M5" s="237"/>
      <c r="N5" s="7"/>
      <c r="O5" s="7"/>
      <c r="P5" s="7"/>
    </row>
    <row r="6" spans="2:16" ht="17.25" customHeight="1" x14ac:dyDescent="0.25">
      <c r="B6" s="1565"/>
      <c r="C6" s="17" t="s">
        <v>145</v>
      </c>
      <c r="D6" s="143">
        <v>8000</v>
      </c>
      <c r="E6" s="7" t="s">
        <v>146</v>
      </c>
      <c r="F6" s="17"/>
      <c r="G6" s="436" t="s">
        <v>238</v>
      </c>
      <c r="H6" s="17"/>
      <c r="I6" s="17"/>
      <c r="J6" s="17"/>
      <c r="K6" s="17"/>
      <c r="L6" s="7"/>
      <c r="M6" s="6"/>
      <c r="N6" s="7"/>
      <c r="O6" s="7"/>
      <c r="P6" s="7"/>
    </row>
    <row r="7" spans="2:16" ht="17.25" customHeight="1" x14ac:dyDescent="0.25">
      <c r="B7" s="1565"/>
      <c r="C7" s="17" t="s">
        <v>148</v>
      </c>
      <c r="D7" s="143">
        <v>20000</v>
      </c>
      <c r="E7" s="7" t="s">
        <v>147</v>
      </c>
      <c r="F7" s="17"/>
      <c r="G7" s="436" t="s">
        <v>239</v>
      </c>
      <c r="H7" s="17"/>
      <c r="I7" s="17"/>
      <c r="J7" s="17"/>
      <c r="K7" s="17"/>
      <c r="L7" s="7"/>
      <c r="M7" s="6"/>
      <c r="N7" s="7"/>
      <c r="O7" s="7"/>
      <c r="P7" s="7"/>
    </row>
    <row r="8" spans="2:16" ht="17.25" customHeight="1" x14ac:dyDescent="0.25">
      <c r="B8" s="1565"/>
      <c r="C8" s="140" t="s">
        <v>149</v>
      </c>
      <c r="D8" s="992">
        <f>D7-D6</f>
        <v>12000</v>
      </c>
      <c r="E8" s="7" t="s">
        <v>150</v>
      </c>
      <c r="F8" s="17"/>
      <c r="G8" s="17"/>
      <c r="H8" s="17"/>
      <c r="I8" s="17"/>
      <c r="J8" s="17"/>
      <c r="K8" s="17"/>
      <c r="L8" s="7"/>
      <c r="M8" s="6"/>
      <c r="N8" s="7"/>
      <c r="O8" s="7"/>
      <c r="P8" s="7"/>
    </row>
    <row r="9" spans="2:16" ht="17.25" customHeight="1" x14ac:dyDescent="0.25">
      <c r="B9" s="1565"/>
      <c r="C9" s="140" t="s">
        <v>153</v>
      </c>
      <c r="D9" s="190" t="s">
        <v>107</v>
      </c>
      <c r="E9" s="8" t="s">
        <v>156</v>
      </c>
      <c r="F9" s="17"/>
      <c r="G9" s="17"/>
      <c r="H9" s="17"/>
      <c r="I9" s="17"/>
      <c r="J9" s="17"/>
      <c r="K9" s="17"/>
      <c r="L9" s="7"/>
      <c r="M9" s="6"/>
      <c r="N9" s="7"/>
      <c r="O9" s="7"/>
      <c r="P9" s="7"/>
    </row>
    <row r="10" spans="2:16" ht="17.25" customHeight="1" x14ac:dyDescent="0.25">
      <c r="B10" s="1565"/>
      <c r="C10" s="140" t="s">
        <v>154</v>
      </c>
      <c r="D10" s="190" t="s">
        <v>106</v>
      </c>
      <c r="E10" s="8" t="s">
        <v>157</v>
      </c>
      <c r="F10" s="17"/>
      <c r="G10" s="17"/>
      <c r="H10" s="17"/>
      <c r="I10" s="17"/>
      <c r="J10" s="17"/>
      <c r="K10" s="17"/>
      <c r="L10" s="7"/>
      <c r="M10" s="6"/>
      <c r="N10" s="7"/>
      <c r="O10" s="7"/>
      <c r="P10" s="7"/>
    </row>
    <row r="11" spans="2:16" ht="17.25" customHeight="1" x14ac:dyDescent="0.25">
      <c r="B11" s="1566"/>
      <c r="C11" s="265" t="s">
        <v>155</v>
      </c>
      <c r="D11" s="266" t="s">
        <v>105</v>
      </c>
      <c r="E11" s="267" t="s">
        <v>158</v>
      </c>
      <c r="F11" s="257"/>
      <c r="G11" s="257"/>
      <c r="H11" s="257"/>
      <c r="I11" s="257"/>
      <c r="J11" s="257"/>
      <c r="K11" s="257"/>
      <c r="L11" s="245"/>
      <c r="M11" s="3"/>
      <c r="N11" s="7"/>
      <c r="O11" s="7"/>
      <c r="P11" s="7"/>
    </row>
    <row r="12" spans="2:16" ht="17.25" customHeight="1" x14ac:dyDescent="0.25">
      <c r="B12" s="256"/>
      <c r="C12" s="140"/>
      <c r="D12" s="190"/>
      <c r="E12" s="8"/>
      <c r="F12" s="17"/>
      <c r="G12" s="17"/>
      <c r="H12" s="17"/>
      <c r="I12" s="17"/>
      <c r="J12" s="17"/>
      <c r="K12" s="17"/>
      <c r="L12" s="7"/>
      <c r="M12" s="7"/>
      <c r="N12" s="7"/>
      <c r="O12" s="7"/>
      <c r="P12" s="7"/>
    </row>
    <row r="13" spans="2:16" ht="17.25" customHeight="1" x14ac:dyDescent="0.25">
      <c r="B13" s="1685" t="s">
        <v>560</v>
      </c>
      <c r="C13" s="150" t="s">
        <v>101</v>
      </c>
      <c r="D13" s="150" t="s">
        <v>563</v>
      </c>
      <c r="E13" s="150"/>
      <c r="F13" s="264"/>
      <c r="G13" s="264"/>
      <c r="H13" s="264"/>
      <c r="I13" s="264"/>
      <c r="J13" s="264"/>
      <c r="K13" s="264"/>
      <c r="L13" s="237"/>
      <c r="M13" s="7"/>
      <c r="N13" s="7"/>
      <c r="O13" s="7"/>
      <c r="P13" s="7"/>
    </row>
    <row r="14" spans="2:16" ht="17.25" customHeight="1" x14ac:dyDescent="0.25">
      <c r="B14" s="1686"/>
      <c r="C14" s="8" t="s">
        <v>564</v>
      </c>
      <c r="D14" s="992" t="s">
        <v>566</v>
      </c>
      <c r="E14" s="7"/>
      <c r="F14" s="17"/>
      <c r="G14" s="17"/>
      <c r="H14" s="17"/>
      <c r="I14" s="17"/>
      <c r="J14" s="17"/>
      <c r="K14" s="17"/>
      <c r="L14" s="6"/>
      <c r="M14" s="7"/>
      <c r="N14" s="7"/>
      <c r="O14" s="7"/>
      <c r="P14" s="7"/>
    </row>
    <row r="15" spans="2:16" ht="17.25" customHeight="1" x14ac:dyDescent="0.25">
      <c r="B15" s="1686"/>
      <c r="C15" s="8" t="s">
        <v>565</v>
      </c>
      <c r="D15" s="992">
        <v>14500</v>
      </c>
      <c r="E15" s="7">
        <f>(D15-$D$6)/$D$8</f>
        <v>0.54166666666666663</v>
      </c>
      <c r="F15" s="17"/>
      <c r="G15" s="17"/>
      <c r="H15" s="17"/>
      <c r="I15" s="17"/>
      <c r="J15" s="17"/>
      <c r="K15" s="17"/>
      <c r="L15" s="6"/>
      <c r="M15" s="7"/>
      <c r="N15" s="7"/>
      <c r="O15" s="7"/>
      <c r="P15" s="7"/>
    </row>
    <row r="16" spans="2:16" ht="17.25" customHeight="1" x14ac:dyDescent="0.25">
      <c r="B16" s="1687"/>
      <c r="C16" s="17" t="s">
        <v>145</v>
      </c>
      <c r="D16" s="143">
        <f>D15</f>
        <v>14500</v>
      </c>
      <c r="E16" s="7" t="s">
        <v>146</v>
      </c>
      <c r="F16" s="17"/>
      <c r="G16" s="436" t="s">
        <v>561</v>
      </c>
      <c r="H16" s="17"/>
      <c r="I16" s="17"/>
      <c r="J16" s="17"/>
      <c r="K16" s="17"/>
      <c r="L16" s="6"/>
      <c r="M16" s="7"/>
      <c r="N16" s="7"/>
      <c r="O16" s="7"/>
      <c r="P16" s="7"/>
    </row>
    <row r="17" spans="2:34" ht="17.25" customHeight="1" x14ac:dyDescent="0.25">
      <c r="B17" s="1687"/>
      <c r="C17" s="17" t="s">
        <v>148</v>
      </c>
      <c r="D17" s="143">
        <v>20000</v>
      </c>
      <c r="E17" s="7" t="s">
        <v>147</v>
      </c>
      <c r="F17" s="17"/>
      <c r="G17" s="436" t="s">
        <v>562</v>
      </c>
      <c r="H17" s="17"/>
      <c r="I17" s="17"/>
      <c r="J17" s="17"/>
      <c r="K17" s="17"/>
      <c r="L17" s="6"/>
      <c r="M17" s="7"/>
      <c r="N17" s="7"/>
      <c r="O17" s="7"/>
      <c r="P17" s="7"/>
    </row>
    <row r="18" spans="2:34" ht="17.25" customHeight="1" x14ac:dyDescent="0.25">
      <c r="B18" s="1687"/>
      <c r="C18" s="140" t="s">
        <v>149</v>
      </c>
      <c r="D18" s="992">
        <f>D17-D16</f>
        <v>5500</v>
      </c>
      <c r="E18" s="7" t="s">
        <v>150</v>
      </c>
      <c r="F18" s="17"/>
      <c r="G18" s="17"/>
      <c r="H18" s="17"/>
      <c r="I18" s="17"/>
      <c r="J18" s="17"/>
      <c r="K18" s="17"/>
      <c r="L18" s="6"/>
      <c r="M18" s="7"/>
      <c r="N18" s="7"/>
      <c r="O18" s="7"/>
      <c r="P18" s="7"/>
    </row>
    <row r="19" spans="2:34" ht="17.25" customHeight="1" x14ac:dyDescent="0.25">
      <c r="B19" s="1687"/>
      <c r="C19" s="140" t="s">
        <v>153</v>
      </c>
      <c r="D19" s="190" t="s">
        <v>107</v>
      </c>
      <c r="E19" s="8" t="s">
        <v>156</v>
      </c>
      <c r="F19" s="17"/>
      <c r="G19" s="17"/>
      <c r="H19" s="17"/>
      <c r="I19" s="17"/>
      <c r="J19" s="17"/>
      <c r="K19" s="17"/>
      <c r="L19" s="6"/>
      <c r="M19" s="7"/>
      <c r="N19" s="7"/>
      <c r="O19" s="7"/>
      <c r="P19" s="7"/>
    </row>
    <row r="20" spans="2:34" ht="17.25" customHeight="1" x14ac:dyDescent="0.25">
      <c r="B20" s="1687"/>
      <c r="C20" s="140" t="s">
        <v>154</v>
      </c>
      <c r="D20" s="190" t="s">
        <v>106</v>
      </c>
      <c r="E20" s="8" t="s">
        <v>157</v>
      </c>
      <c r="F20" s="17"/>
      <c r="G20" s="17"/>
      <c r="H20" s="17"/>
      <c r="I20" s="17"/>
      <c r="J20" s="17"/>
      <c r="K20" s="17"/>
      <c r="L20" s="6"/>
      <c r="M20" s="7"/>
      <c r="N20" s="7"/>
      <c r="O20" s="7"/>
      <c r="P20" s="7"/>
    </row>
    <row r="21" spans="2:34" ht="17.25" customHeight="1" x14ac:dyDescent="0.25">
      <c r="B21" s="1688"/>
      <c r="C21" s="265" t="s">
        <v>155</v>
      </c>
      <c r="D21" s="266" t="s">
        <v>105</v>
      </c>
      <c r="E21" s="267" t="s">
        <v>158</v>
      </c>
      <c r="F21" s="257"/>
      <c r="G21" s="257"/>
      <c r="H21" s="257"/>
      <c r="I21" s="257"/>
      <c r="J21" s="257"/>
      <c r="K21" s="257"/>
      <c r="L21" s="3"/>
      <c r="M21" s="7"/>
      <c r="N21" s="7"/>
      <c r="O21" s="7"/>
      <c r="P21" s="7"/>
    </row>
    <row r="22" spans="2:34" ht="17.25" customHeight="1" x14ac:dyDescent="0.25">
      <c r="B22" s="256"/>
      <c r="C22" s="140"/>
      <c r="D22" s="190"/>
      <c r="E22" s="8"/>
      <c r="F22" s="17"/>
      <c r="G22" s="17"/>
      <c r="H22" s="17"/>
      <c r="I22" s="17"/>
      <c r="J22" s="17"/>
      <c r="K22" s="17"/>
      <c r="L22" s="7"/>
      <c r="M22" s="7"/>
      <c r="N22" s="7"/>
      <c r="O22" s="7"/>
    </row>
    <row r="23" spans="2:34" ht="17.25" customHeight="1" thickBot="1" x14ac:dyDescent="0.3">
      <c r="B23" s="7"/>
      <c r="C23" s="7"/>
      <c r="D23" s="7"/>
    </row>
    <row r="24" spans="2:34" ht="17.25" customHeight="1" x14ac:dyDescent="0.25">
      <c r="C24" s="1567" t="s">
        <v>569</v>
      </c>
      <c r="D24" s="273" t="s">
        <v>160</v>
      </c>
      <c r="E24" s="274" t="s">
        <v>161</v>
      </c>
      <c r="F24" s="251" t="s">
        <v>162</v>
      </c>
      <c r="G24" s="251"/>
      <c r="H24" s="249"/>
      <c r="I24" s="17"/>
      <c r="J24" s="17"/>
      <c r="K24" s="17"/>
      <c r="M24" s="1567" t="s">
        <v>570</v>
      </c>
      <c r="N24" s="273" t="s">
        <v>160</v>
      </c>
      <c r="O24" s="1060" t="s">
        <v>568</v>
      </c>
      <c r="P24" s="251" t="s">
        <v>162</v>
      </c>
      <c r="Q24" s="251"/>
      <c r="R24" s="249"/>
    </row>
    <row r="25" spans="2:34" ht="17.25" customHeight="1" x14ac:dyDescent="0.25">
      <c r="C25" s="1568"/>
      <c r="D25" s="17" t="s">
        <v>135</v>
      </c>
      <c r="E25" s="254">
        <v>2</v>
      </c>
      <c r="F25" s="17" t="s">
        <v>136</v>
      </c>
      <c r="G25" s="17"/>
      <c r="H25" s="195"/>
      <c r="I25" s="17"/>
      <c r="J25" s="17"/>
      <c r="K25" s="17"/>
      <c r="M25" s="1568"/>
      <c r="N25" s="17" t="s">
        <v>135</v>
      </c>
      <c r="O25" s="254">
        <v>2</v>
      </c>
      <c r="P25" s="17" t="s">
        <v>136</v>
      </c>
      <c r="Q25" s="17"/>
      <c r="R25" s="195"/>
    </row>
    <row r="26" spans="2:34" ht="17.25" customHeight="1" x14ac:dyDescent="0.25">
      <c r="C26" s="1568"/>
      <c r="D26" s="17" t="s">
        <v>5</v>
      </c>
      <c r="E26" s="992">
        <v>1.3</v>
      </c>
      <c r="F26" s="17" t="s">
        <v>139</v>
      </c>
      <c r="G26" s="17"/>
      <c r="H26" s="195"/>
      <c r="I26" s="17"/>
      <c r="J26" s="17"/>
      <c r="K26" s="17"/>
      <c r="M26" s="1568"/>
      <c r="N26" s="17" t="s">
        <v>5</v>
      </c>
      <c r="O26" s="992">
        <v>1.3</v>
      </c>
      <c r="P26" s="17" t="s">
        <v>139</v>
      </c>
      <c r="Q26" s="17"/>
      <c r="R26" s="195"/>
      <c r="AH26" s="7"/>
    </row>
    <row r="27" spans="2:34" ht="17.25" customHeight="1" thickBot="1" x14ac:dyDescent="0.3">
      <c r="C27" s="1569"/>
      <c r="D27" s="166" t="s">
        <v>137</v>
      </c>
      <c r="E27" s="438">
        <f>E26*LN(E25)</f>
        <v>0.90109133472792891</v>
      </c>
      <c r="F27" s="166" t="s">
        <v>138</v>
      </c>
      <c r="G27" s="252"/>
      <c r="H27" s="250"/>
      <c r="I27" s="17"/>
      <c r="J27" s="17"/>
      <c r="K27" s="17"/>
      <c r="M27" s="1569"/>
      <c r="N27" s="166" t="s">
        <v>137</v>
      </c>
      <c r="O27" s="438">
        <f>O26*LN(O25)</f>
        <v>0.90109133472792891</v>
      </c>
      <c r="P27" s="166" t="s">
        <v>138</v>
      </c>
      <c r="Q27" s="252"/>
      <c r="R27" s="250"/>
      <c r="AH27" s="7"/>
    </row>
    <row r="28" spans="2:34" s="7" customFormat="1" ht="15.75" thickBot="1" x14ac:dyDescent="0.3">
      <c r="B28"/>
      <c r="C28" s="33"/>
      <c r="D28" s="33"/>
      <c r="E28" s="33"/>
      <c r="F28" s="33"/>
      <c r="G28" s="33"/>
      <c r="H28" s="33"/>
      <c r="I28" s="33"/>
      <c r="J28" s="33"/>
      <c r="K28" s="33"/>
      <c r="L28"/>
      <c r="M28"/>
      <c r="N28" s="8"/>
    </row>
    <row r="29" spans="2:34" s="7" customFormat="1" ht="24.75" customHeight="1" x14ac:dyDescent="0.25">
      <c r="B29"/>
      <c r="C29" s="432" t="s">
        <v>12</v>
      </c>
      <c r="D29" s="424"/>
      <c r="E29" s="433" t="s">
        <v>13</v>
      </c>
      <c r="F29" s="434"/>
      <c r="G29" s="443" t="s">
        <v>213</v>
      </c>
      <c r="H29" s="440" t="s">
        <v>212</v>
      </c>
      <c r="I29" s="424" t="s">
        <v>115</v>
      </c>
      <c r="J29" s="435" t="s">
        <v>35</v>
      </c>
      <c r="K29" s="193"/>
      <c r="L29"/>
      <c r="M29" s="432" t="s">
        <v>12</v>
      </c>
      <c r="N29" s="424"/>
      <c r="O29" s="433" t="s">
        <v>13</v>
      </c>
      <c r="P29" s="434"/>
      <c r="Q29" s="443" t="s">
        <v>584</v>
      </c>
      <c r="R29" s="440" t="s">
        <v>583</v>
      </c>
      <c r="S29" s="424" t="s">
        <v>115</v>
      </c>
      <c r="T29" s="435" t="s">
        <v>35</v>
      </c>
      <c r="U29" s="193"/>
    </row>
    <row r="30" spans="2:34" s="7" customFormat="1" ht="15.75" thickBot="1" x14ac:dyDescent="0.3">
      <c r="B30" s="115" t="s">
        <v>45</v>
      </c>
      <c r="C30" s="202" t="str">
        <f>"M1("&amp;D6&amp;")"</f>
        <v>M1(8000)</v>
      </c>
      <c r="D30" s="198" t="str">
        <f>"M1("&amp;D7&amp;")"</f>
        <v>M1(20000)</v>
      </c>
      <c r="E30" s="196" t="str">
        <f>"P("&amp;D6&amp;")"</f>
        <v>P(8000)</v>
      </c>
      <c r="F30" s="197" t="str">
        <f>"S("&amp;D7&amp;")"</f>
        <v>S(20000)</v>
      </c>
      <c r="G30" s="445" t="s">
        <v>210</v>
      </c>
      <c r="H30" s="442" t="s">
        <v>101</v>
      </c>
      <c r="I30" s="294">
        <v>0</v>
      </c>
      <c r="J30" s="203"/>
      <c r="K30" s="140"/>
      <c r="L30" s="115" t="s">
        <v>45</v>
      </c>
      <c r="M30" s="202" t="str">
        <f>"M2("&amp;D16&amp;")"</f>
        <v>M2(14500)</v>
      </c>
      <c r="N30" s="198" t="str">
        <f>"M2("&amp;D17&amp;")"</f>
        <v>M2(20000)</v>
      </c>
      <c r="O30" s="196" t="str">
        <f>"P("&amp;D16&amp;")"</f>
        <v>P(14500)</v>
      </c>
      <c r="P30" s="197" t="str">
        <f>"S("&amp;D17&amp;")"</f>
        <v>S(20000)</v>
      </c>
      <c r="Q30" s="445" t="s">
        <v>210</v>
      </c>
      <c r="R30" s="442" t="s">
        <v>101</v>
      </c>
      <c r="S30" s="294">
        <v>0</v>
      </c>
      <c r="T30" s="203"/>
      <c r="U30" s="140"/>
      <c r="V30" s="7" t="s">
        <v>597</v>
      </c>
    </row>
    <row r="31" spans="2:34" s="7" customFormat="1" ht="18" customHeight="1" thickTop="1" x14ac:dyDescent="0.25">
      <c r="B31" s="25">
        <v>1</v>
      </c>
      <c r="C31" s="450">
        <v>0</v>
      </c>
      <c r="D31" s="352">
        <v>0</v>
      </c>
      <c r="E31" s="451">
        <f t="shared" ref="E31:E40" si="0">EXP(C31/$O$26)/(EXP($D31/$O$26)+EXP($C31/$O$26))</f>
        <v>0.5</v>
      </c>
      <c r="F31" s="452">
        <f t="shared" ref="F31:F40" si="1">EXP(D31/$O$26)/(EXP($D31/$O$26)+EXP($C31/$O$26))</f>
        <v>0.5</v>
      </c>
      <c r="G31" s="448">
        <f t="shared" ref="G31:H41" si="2">(E31*$D$8)+$D$6</f>
        <v>14000</v>
      </c>
      <c r="H31" s="449">
        <f t="shared" si="2"/>
        <v>14000</v>
      </c>
      <c r="I31" s="336">
        <f t="shared" ref="I31:I41" si="3">$O$26*LN(EXP($D31/$O$26)+EXP($C31/$O$26))</f>
        <v>0.90109133472792891</v>
      </c>
      <c r="J31" s="204">
        <f>(I31-I30)</f>
        <v>0.90109133472792891</v>
      </c>
      <c r="K31" s="194"/>
      <c r="L31" s="25">
        <v>1</v>
      </c>
      <c r="M31" s="314">
        <v>37.406987846495696</v>
      </c>
      <c r="N31" s="213">
        <v>0</v>
      </c>
      <c r="O31" s="451">
        <f>EXP(M31/$O$26)/(EXP($N31/$O$26)+EXP($M31/$O$26))</f>
        <v>0.99999999999968137</v>
      </c>
      <c r="P31" s="452">
        <f>EXP(N31/$O$26)/(EXP($N31/$O$26)+EXP($M31/$O$26))</f>
        <v>3.1867454890803687E-13</v>
      </c>
      <c r="Q31" s="448">
        <f>(O31*$D$18)</f>
        <v>5499.9999999982474</v>
      </c>
      <c r="R31" s="449">
        <f>(P31*$D$18)</f>
        <v>1.7527100189942027E-9</v>
      </c>
      <c r="S31" s="336">
        <f>$O$26*LN(EXP($N31/$O$26)+EXP($M31/$O$26))</f>
        <v>37.406987846496115</v>
      </c>
      <c r="T31" s="204">
        <f t="shared" ref="T31:T40" si="4">(S31-S30)</f>
        <v>37.406987846496115</v>
      </c>
      <c r="U31" s="194"/>
      <c r="V31" s="160">
        <f>H31-$D$15</f>
        <v>-500</v>
      </c>
      <c r="W31" s="7">
        <f>IF(V31&lt;0,0,V31)</f>
        <v>0</v>
      </c>
    </row>
    <row r="32" spans="2:34" s="7" customFormat="1" x14ac:dyDescent="0.25">
      <c r="B32" s="25">
        <v>2</v>
      </c>
      <c r="C32" s="453">
        <v>1</v>
      </c>
      <c r="D32" s="360">
        <v>0</v>
      </c>
      <c r="E32" s="454">
        <f t="shared" si="0"/>
        <v>0.68335447018778295</v>
      </c>
      <c r="F32" s="455">
        <f t="shared" si="1"/>
        <v>0.316645529812217</v>
      </c>
      <c r="G32" s="444">
        <f>(E32*$D$8)+$D$6</f>
        <v>16200.253642253396</v>
      </c>
      <c r="H32" s="441">
        <f t="shared" si="2"/>
        <v>11799.746357746604</v>
      </c>
      <c r="I32" s="337">
        <f t="shared" si="3"/>
        <v>1.4949640332182719</v>
      </c>
      <c r="J32" s="206">
        <f t="shared" ref="J32:J39" si="5">(I32-I31)</f>
        <v>0.59387269849034297</v>
      </c>
      <c r="K32" s="194"/>
      <c r="L32" s="25">
        <v>2</v>
      </c>
      <c r="M32" s="316">
        <v>36.054795045749565</v>
      </c>
      <c r="N32" s="231">
        <v>0</v>
      </c>
      <c r="O32" s="454">
        <f>EXP(M32/$O$26)/(EXP($N32/$O$26)+EXP($M32/$O$26))</f>
        <v>0.99999999999909828</v>
      </c>
      <c r="P32" s="455">
        <f t="shared" ref="P32:P40" si="6">EXP(N32/$O$26)/(EXP($N32/$O$26)+EXP($M32/$O$26))</f>
        <v>9.0173318037903461E-13</v>
      </c>
      <c r="Q32" s="444">
        <f t="shared" ref="Q32:Q41" si="7">(O32*$D$18)</f>
        <v>5499.9999999950405</v>
      </c>
      <c r="R32" s="441">
        <f t="shared" ref="R32:R40" si="8">(P32*$D$18)</f>
        <v>4.9595324920846906E-9</v>
      </c>
      <c r="S32" s="337">
        <f t="shared" ref="S32:S40" si="9">$O$26*LN(EXP($N32/$O$26)+EXP($M32/$O$26))</f>
        <v>36.054795045750737</v>
      </c>
      <c r="T32" s="206">
        <f t="shared" si="4"/>
        <v>-1.3521928007453781</v>
      </c>
      <c r="U32" s="194"/>
      <c r="V32" s="160">
        <f t="shared" ref="V32:V40" si="10">H32-$D$15</f>
        <v>-2700.2536422533958</v>
      </c>
      <c r="W32" s="7">
        <f t="shared" ref="W32:W41" si="11">IF(V32&lt;0,0,V32)</f>
        <v>0</v>
      </c>
    </row>
    <row r="33" spans="2:25" s="7" customFormat="1" x14ac:dyDescent="0.25">
      <c r="B33" s="25">
        <v>3</v>
      </c>
      <c r="C33" s="453">
        <v>1</v>
      </c>
      <c r="D33" s="360">
        <v>2</v>
      </c>
      <c r="E33" s="454">
        <f t="shared" si="0"/>
        <v>0.316645529812217</v>
      </c>
      <c r="F33" s="455">
        <f t="shared" si="1"/>
        <v>0.68335447018778306</v>
      </c>
      <c r="G33" s="444">
        <f t="shared" si="2"/>
        <v>11799.746357746604</v>
      </c>
      <c r="H33" s="441">
        <f t="shared" si="2"/>
        <v>16200.253642253396</v>
      </c>
      <c r="I33" s="337">
        <f t="shared" si="3"/>
        <v>2.4949640332182721</v>
      </c>
      <c r="J33" s="206">
        <f t="shared" si="5"/>
        <v>1.0000000000000002</v>
      </c>
      <c r="K33" s="194"/>
      <c r="L33" s="25">
        <v>3</v>
      </c>
      <c r="M33" s="316">
        <v>1.1545800513958524</v>
      </c>
      <c r="N33" s="231">
        <v>0.10917625858025784</v>
      </c>
      <c r="O33" s="454">
        <f t="shared" ref="O33:O40" si="12">EXP(M33/$O$26)/(EXP($N33/$O$26)+EXP($M33/$O$26))</f>
        <v>0.69086295030533218</v>
      </c>
      <c r="P33" s="455">
        <f t="shared" si="6"/>
        <v>0.30913704969466782</v>
      </c>
      <c r="Q33" s="444">
        <f t="shared" si="7"/>
        <v>3799.7462266793268</v>
      </c>
      <c r="R33" s="441">
        <f>(P33*$D$18)</f>
        <v>1700.253773320673</v>
      </c>
      <c r="S33" s="337">
        <f t="shared" si="9"/>
        <v>1.6353380046414761</v>
      </c>
      <c r="T33" s="206">
        <f t="shared" si="4"/>
        <v>-34.419457041109261</v>
      </c>
      <c r="U33" s="194"/>
      <c r="V33" s="160">
        <f t="shared" si="10"/>
        <v>1700.2536422533958</v>
      </c>
      <c r="W33" s="7">
        <f t="shared" si="11"/>
        <v>1700.2536422533958</v>
      </c>
    </row>
    <row r="34" spans="2:25" s="7" customFormat="1" x14ac:dyDescent="0.25">
      <c r="B34" s="25">
        <v>4</v>
      </c>
      <c r="C34" s="453">
        <v>2</v>
      </c>
      <c r="D34" s="360">
        <v>2</v>
      </c>
      <c r="E34" s="454">
        <f t="shared" si="0"/>
        <v>0.5</v>
      </c>
      <c r="F34" s="455">
        <f t="shared" si="1"/>
        <v>0.5</v>
      </c>
      <c r="G34" s="444">
        <f t="shared" si="2"/>
        <v>14000</v>
      </c>
      <c r="H34" s="441">
        <f t="shared" si="2"/>
        <v>14000</v>
      </c>
      <c r="I34" s="337">
        <f t="shared" si="3"/>
        <v>2.901091334727929</v>
      </c>
      <c r="J34" s="206">
        <f t="shared" si="5"/>
        <v>0.40612730150965692</v>
      </c>
      <c r="K34" s="194"/>
      <c r="L34" s="25">
        <v>4</v>
      </c>
      <c r="M34" s="316">
        <v>32.564618000000003</v>
      </c>
      <c r="N34" s="231">
        <v>0</v>
      </c>
      <c r="O34" s="454">
        <f t="shared" si="12"/>
        <v>0.99999999998678546</v>
      </c>
      <c r="P34" s="455">
        <f t="shared" si="6"/>
        <v>1.321450331051515E-11</v>
      </c>
      <c r="Q34" s="444">
        <f t="shared" si="7"/>
        <v>5499.9999999273205</v>
      </c>
      <c r="R34" s="441">
        <f t="shared" si="8"/>
        <v>7.2679768207833316E-8</v>
      </c>
      <c r="S34" s="337">
        <f t="shared" si="9"/>
        <v>32.564618000017184</v>
      </c>
      <c r="T34" s="206">
        <f t="shared" si="4"/>
        <v>30.929279995375708</v>
      </c>
      <c r="U34" s="194"/>
      <c r="V34" s="160">
        <f t="shared" si="10"/>
        <v>-500</v>
      </c>
      <c r="W34" s="7">
        <f t="shared" si="11"/>
        <v>0</v>
      </c>
    </row>
    <row r="35" spans="2:25" s="7" customFormat="1" x14ac:dyDescent="0.25">
      <c r="B35" s="25">
        <v>5</v>
      </c>
      <c r="C35" s="453">
        <v>11</v>
      </c>
      <c r="D35" s="360">
        <v>12</v>
      </c>
      <c r="E35" s="454">
        <f t="shared" si="0"/>
        <v>0.31664552981221722</v>
      </c>
      <c r="F35" s="455">
        <f t="shared" si="1"/>
        <v>0.68335447018778273</v>
      </c>
      <c r="G35" s="444">
        <f t="shared" si="2"/>
        <v>11799.746357746606</v>
      </c>
      <c r="H35" s="441">
        <f t="shared" si="2"/>
        <v>16200.253642253392</v>
      </c>
      <c r="I35" s="337">
        <f t="shared" si="3"/>
        <v>12.494964033218272</v>
      </c>
      <c r="J35" s="206">
        <f>(I35-I34)</f>
        <v>9.593872698490344</v>
      </c>
      <c r="K35" s="194"/>
      <c r="L35" s="25">
        <v>5</v>
      </c>
      <c r="M35" s="316">
        <v>13.891785082043878</v>
      </c>
      <c r="N35" s="231">
        <v>12.84638281393654</v>
      </c>
      <c r="O35" s="454">
        <f t="shared" si="12"/>
        <v>0.69086269981760196</v>
      </c>
      <c r="P35" s="455">
        <f t="shared" si="6"/>
        <v>0.30913730018239804</v>
      </c>
      <c r="Q35" s="444">
        <f>(O35*$D$18)</f>
        <v>3799.7448489968106</v>
      </c>
      <c r="R35" s="441">
        <f t="shared" si="8"/>
        <v>1700.2551510031892</v>
      </c>
      <c r="S35" s="337">
        <f t="shared" si="9"/>
        <v>14.372543506633503</v>
      </c>
      <c r="T35" s="206">
        <f t="shared" si="4"/>
        <v>-18.192074493383679</v>
      </c>
      <c r="U35" s="194"/>
      <c r="V35" s="160">
        <f t="shared" si="10"/>
        <v>1700.2536422533922</v>
      </c>
      <c r="W35" s="7">
        <f t="shared" si="11"/>
        <v>1700.2536422533922</v>
      </c>
    </row>
    <row r="36" spans="2:25" s="7" customFormat="1" x14ac:dyDescent="0.25">
      <c r="B36" s="25">
        <v>6</v>
      </c>
      <c r="C36" s="453">
        <v>12</v>
      </c>
      <c r="D36" s="360">
        <v>12</v>
      </c>
      <c r="E36" s="454">
        <f t="shared" si="0"/>
        <v>0.5</v>
      </c>
      <c r="F36" s="455">
        <f t="shared" si="1"/>
        <v>0.5</v>
      </c>
      <c r="G36" s="444">
        <f t="shared" si="2"/>
        <v>14000</v>
      </c>
      <c r="H36" s="441">
        <f t="shared" si="2"/>
        <v>14000</v>
      </c>
      <c r="I36" s="337">
        <f t="shared" si="3"/>
        <v>12.901091334727928</v>
      </c>
      <c r="J36" s="206">
        <f t="shared" si="5"/>
        <v>0.40612730150965604</v>
      </c>
      <c r="K36" s="194"/>
      <c r="L36" s="25">
        <v>6</v>
      </c>
      <c r="M36" s="316">
        <v>35.710735365092376</v>
      </c>
      <c r="N36" s="231">
        <v>0.88205897064394689</v>
      </c>
      <c r="O36" s="454">
        <f t="shared" si="12"/>
        <v>0.99999999999768419</v>
      </c>
      <c r="P36" s="455">
        <f t="shared" si="6"/>
        <v>2.315745305014157E-12</v>
      </c>
      <c r="Q36" s="444">
        <f t="shared" si="7"/>
        <v>5499.9999999872634</v>
      </c>
      <c r="R36" s="441">
        <f t="shared" si="8"/>
        <v>1.2736599177577863E-8</v>
      </c>
      <c r="S36" s="337">
        <f t="shared" si="9"/>
        <v>35.710735365095388</v>
      </c>
      <c r="T36" s="206">
        <f t="shared" si="4"/>
        <v>21.338191858461883</v>
      </c>
      <c r="U36" s="194"/>
      <c r="V36" s="160">
        <f t="shared" si="10"/>
        <v>-500</v>
      </c>
      <c r="W36" s="7">
        <f t="shared" si="11"/>
        <v>0</v>
      </c>
    </row>
    <row r="37" spans="2:25" s="7" customFormat="1" x14ac:dyDescent="0.25">
      <c r="B37" s="25">
        <v>7</v>
      </c>
      <c r="C37" s="453">
        <v>12</v>
      </c>
      <c r="D37" s="360">
        <v>12.5</v>
      </c>
      <c r="E37" s="454">
        <f t="shared" si="0"/>
        <v>0.4050142064772283</v>
      </c>
      <c r="F37" s="455">
        <f t="shared" si="1"/>
        <v>0.5949857935227717</v>
      </c>
      <c r="G37" s="444">
        <f t="shared" si="2"/>
        <v>12860.170477726741</v>
      </c>
      <c r="H37" s="441">
        <f>(F37*$D$8)+$D$6</f>
        <v>15139.829522273259</v>
      </c>
      <c r="I37" s="337">
        <f t="shared" si="3"/>
        <v>13.174983075200032</v>
      </c>
      <c r="J37" s="206">
        <f t="shared" si="5"/>
        <v>0.27389174047210396</v>
      </c>
      <c r="K37" s="194"/>
      <c r="L37" s="25">
        <v>7</v>
      </c>
      <c r="M37" s="316">
        <v>50.547890389173823</v>
      </c>
      <c r="N37" s="231">
        <v>47.911975634559056</v>
      </c>
      <c r="O37" s="454">
        <f t="shared" si="12"/>
        <v>0.88366732974820505</v>
      </c>
      <c r="P37" s="455">
        <f t="shared" si="6"/>
        <v>0.11633267025179499</v>
      </c>
      <c r="Q37" s="444">
        <f t="shared" si="7"/>
        <v>4860.1703136151282</v>
      </c>
      <c r="R37" s="441">
        <f t="shared" si="8"/>
        <v>639.82968638487239</v>
      </c>
      <c r="S37" s="337">
        <f t="shared" si="9"/>
        <v>50.708667383456039</v>
      </c>
      <c r="T37" s="206">
        <f t="shared" si="4"/>
        <v>14.99793201836065</v>
      </c>
      <c r="U37" s="194"/>
      <c r="V37" s="160">
        <f t="shared" si="10"/>
        <v>639.8295222732595</v>
      </c>
      <c r="W37" s="7">
        <f t="shared" si="11"/>
        <v>639.8295222732595</v>
      </c>
    </row>
    <row r="38" spans="2:25" s="7" customFormat="1" x14ac:dyDescent="0.25">
      <c r="B38" s="25">
        <v>8</v>
      </c>
      <c r="C38" s="453">
        <v>12</v>
      </c>
      <c r="D38" s="360">
        <v>11</v>
      </c>
      <c r="E38" s="454">
        <f t="shared" si="0"/>
        <v>0.68335447018778273</v>
      </c>
      <c r="F38" s="455">
        <f t="shared" si="1"/>
        <v>0.31664552981221722</v>
      </c>
      <c r="G38" s="444">
        <f t="shared" si="2"/>
        <v>16200.253642253392</v>
      </c>
      <c r="H38" s="441">
        <f t="shared" si="2"/>
        <v>11799.746357746606</v>
      </c>
      <c r="I38" s="337">
        <f t="shared" si="3"/>
        <v>12.494964033218272</v>
      </c>
      <c r="J38" s="206">
        <f t="shared" si="5"/>
        <v>-0.68001904198176</v>
      </c>
      <c r="K38" s="194"/>
      <c r="L38" s="25">
        <v>8</v>
      </c>
      <c r="M38" s="316">
        <v>86.319683386855274</v>
      </c>
      <c r="N38" s="231">
        <v>70.66251624721717</v>
      </c>
      <c r="O38" s="454">
        <f t="shared" si="12"/>
        <v>0.99999412015762079</v>
      </c>
      <c r="P38" s="455">
        <f t="shared" si="6"/>
        <v>5.8798423792783525E-6</v>
      </c>
      <c r="Q38" s="444">
        <f t="shared" si="7"/>
        <v>5499.9676608669142</v>
      </c>
      <c r="R38" s="441">
        <f t="shared" si="8"/>
        <v>3.2339133086030938E-2</v>
      </c>
      <c r="S38" s="337">
        <f t="shared" si="9"/>
        <v>86.319691030672857</v>
      </c>
      <c r="T38" s="206">
        <f t="shared" si="4"/>
        <v>35.611023647216818</v>
      </c>
      <c r="U38" s="194"/>
      <c r="V38" s="160">
        <f t="shared" si="10"/>
        <v>-2700.253642253394</v>
      </c>
      <c r="W38" s="7">
        <f t="shared" si="11"/>
        <v>0</v>
      </c>
    </row>
    <row r="39" spans="2:25" s="7" customFormat="1" x14ac:dyDescent="0.25">
      <c r="B39" s="25">
        <v>9</v>
      </c>
      <c r="C39" s="453">
        <v>12</v>
      </c>
      <c r="D39" s="360">
        <v>12.9</v>
      </c>
      <c r="E39" s="454">
        <f t="shared" si="0"/>
        <v>0.33351991237247264</v>
      </c>
      <c r="F39" s="455">
        <f t="shared" si="1"/>
        <v>0.66648008762752742</v>
      </c>
      <c r="G39" s="444">
        <f t="shared" si="2"/>
        <v>12002.238948469672</v>
      </c>
      <c r="H39" s="441">
        <f t="shared" si="2"/>
        <v>15997.761051530328</v>
      </c>
      <c r="I39" s="337">
        <f t="shared" si="3"/>
        <v>13.427468520588603</v>
      </c>
      <c r="J39" s="206">
        <f t="shared" si="5"/>
        <v>0.93250448737033054</v>
      </c>
      <c r="K39" s="194"/>
      <c r="L39" s="25">
        <v>9</v>
      </c>
      <c r="M39" s="316">
        <v>13.342837225951399</v>
      </c>
      <c r="N39" s="231">
        <v>12.065089767673323</v>
      </c>
      <c r="O39" s="454">
        <f t="shared" si="12"/>
        <v>0.72767982452307733</v>
      </c>
      <c r="P39" s="455">
        <f t="shared" si="6"/>
        <v>0.27232017547692267</v>
      </c>
      <c r="Q39" s="444">
        <f t="shared" si="7"/>
        <v>4002.2390348769254</v>
      </c>
      <c r="R39" s="441">
        <f>(P39*$D$18)</f>
        <v>1497.7609651230746</v>
      </c>
      <c r="S39" s="337">
        <f t="shared" si="9"/>
        <v>13.756099593658909</v>
      </c>
      <c r="T39" s="206">
        <f t="shared" si="4"/>
        <v>-72.56359143701394</v>
      </c>
      <c r="U39" s="194"/>
      <c r="V39" s="160">
        <f t="shared" si="10"/>
        <v>1497.7610515303277</v>
      </c>
      <c r="W39" s="7">
        <f t="shared" si="11"/>
        <v>1497.7610515303277</v>
      </c>
    </row>
    <row r="40" spans="2:25" s="7" customFormat="1" ht="15.75" thickBot="1" x14ac:dyDescent="0.3">
      <c r="B40" s="25">
        <v>10</v>
      </c>
      <c r="C40" s="247">
        <v>12</v>
      </c>
      <c r="D40" s="173">
        <v>12.8</v>
      </c>
      <c r="E40" s="456">
        <f t="shared" si="0"/>
        <v>0.35083187501122698</v>
      </c>
      <c r="F40" s="457">
        <f t="shared" si="1"/>
        <v>0.64916812498877297</v>
      </c>
      <c r="G40" s="445">
        <f t="shared" si="2"/>
        <v>12209.982500134724</v>
      </c>
      <c r="H40" s="442">
        <f t="shared" si="2"/>
        <v>15790.017499865276</v>
      </c>
      <c r="I40" s="338">
        <f t="shared" si="3"/>
        <v>13.361682606491927</v>
      </c>
      <c r="J40" s="1073">
        <f>(I40-I39)</f>
        <v>-6.5785914096675668E-2</v>
      </c>
      <c r="K40" s="194"/>
      <c r="L40" s="25">
        <v>10</v>
      </c>
      <c r="M40" s="318">
        <v>17.109615910027149</v>
      </c>
      <c r="N40" s="223">
        <v>15.571972353671613</v>
      </c>
      <c r="O40" s="456">
        <f t="shared" si="12"/>
        <v>0.7654513688276503</v>
      </c>
      <c r="P40" s="457">
        <f t="shared" si="6"/>
        <v>0.23454863117234964</v>
      </c>
      <c r="Q40" s="445">
        <f t="shared" si="7"/>
        <v>4209.9825285520765</v>
      </c>
      <c r="R40" s="442">
        <f t="shared" si="8"/>
        <v>1290.0174714479231</v>
      </c>
      <c r="S40" s="338">
        <f t="shared" si="9"/>
        <v>17.457092382929638</v>
      </c>
      <c r="T40" s="1073">
        <f t="shared" si="4"/>
        <v>3.7009927892707282</v>
      </c>
      <c r="U40" s="194"/>
      <c r="V40" s="160">
        <f t="shared" si="10"/>
        <v>1290.0174998652765</v>
      </c>
      <c r="W40" s="7">
        <f t="shared" si="11"/>
        <v>1290.0174998652765</v>
      </c>
      <c r="Y40" s="7" t="s">
        <v>598</v>
      </c>
    </row>
    <row r="41" spans="2:25" s="7" customFormat="1" ht="16.5" thickTop="1" thickBot="1" x14ac:dyDescent="0.3">
      <c r="B41" s="25" t="s">
        <v>97</v>
      </c>
      <c r="C41" s="376">
        <f>C40</f>
        <v>12</v>
      </c>
      <c r="D41" s="373">
        <f>D40</f>
        <v>12.8</v>
      </c>
      <c r="E41" s="426">
        <f>E45</f>
        <v>0.33103416666666663</v>
      </c>
      <c r="F41" s="427">
        <f>F45</f>
        <v>0.66896583333333337</v>
      </c>
      <c r="G41" s="446">
        <f t="shared" si="2"/>
        <v>11972.41</v>
      </c>
      <c r="H41" s="447">
        <f t="shared" si="2"/>
        <v>16027.59</v>
      </c>
      <c r="I41" s="439">
        <f t="shared" si="3"/>
        <v>13.361682606491927</v>
      </c>
      <c r="J41" s="194"/>
      <c r="K41" s="8"/>
      <c r="L41" s="25" t="s">
        <v>97</v>
      </c>
      <c r="M41" s="320">
        <v>17.316553792008278</v>
      </c>
      <c r="N41" s="322">
        <v>15.773909609705409</v>
      </c>
      <c r="O41" s="426">
        <f>O45</f>
        <v>0.72225636363636359</v>
      </c>
      <c r="P41" s="427">
        <f>P45</f>
        <v>0.27774363636363641</v>
      </c>
      <c r="Q41" s="446">
        <f t="shared" si="7"/>
        <v>3972.41</v>
      </c>
      <c r="R41" s="447">
        <f>(P41*$D$18)</f>
        <v>1527.5900000000004</v>
      </c>
      <c r="S41" s="439">
        <f>$O$26*LN(EXP($N41/$O$26)+EXP($M41/$O$26))</f>
        <v>17.662859100500036</v>
      </c>
      <c r="T41" s="194"/>
      <c r="U41" s="8"/>
      <c r="V41" s="160">
        <f>H41-$D$15</f>
        <v>1527.5900000000001</v>
      </c>
      <c r="W41" s="7">
        <f t="shared" si="11"/>
        <v>1527.5900000000001</v>
      </c>
      <c r="Y41" s="7">
        <f>SUMXMY2(R31:R41,W31:W41)</f>
        <v>1.0481482397235479E-3</v>
      </c>
    </row>
    <row r="42" spans="2:25" s="7" customFormat="1" ht="15.75" thickBot="1" x14ac:dyDescent="0.3">
      <c r="B42"/>
      <c r="C42" s="33"/>
      <c r="D42" s="33"/>
      <c r="E42" s="84"/>
      <c r="F42" s="84"/>
      <c r="G42" s="33"/>
      <c r="H42" s="33"/>
      <c r="I42" s="263">
        <f>SUMPRODUCT(C41:D41,E41:F41)</f>
        <v>12.535172666666668</v>
      </c>
      <c r="J42" t="s">
        <v>109</v>
      </c>
      <c r="L42"/>
      <c r="M42" s="33"/>
      <c r="N42" s="33"/>
      <c r="O42" s="84"/>
      <c r="P42" s="84"/>
      <c r="Q42" s="33"/>
      <c r="R42" s="33"/>
      <c r="S42" s="263">
        <f>SUMPRODUCT(M41:N41,O41:P41)</f>
        <v>16.88809418720027</v>
      </c>
      <c r="T42" t="s">
        <v>109</v>
      </c>
    </row>
    <row r="43" spans="2:25" s="7" customFormat="1" ht="15.75" thickBot="1" x14ac:dyDescent="0.3">
      <c r="C43" s="140"/>
      <c r="E43" s="992"/>
      <c r="F43" s="992"/>
      <c r="G43" s="17"/>
      <c r="H43" s="207"/>
      <c r="I43" s="263">
        <f>I41-I42</f>
        <v>0.82650993982525911</v>
      </c>
      <c r="J43" s="7" t="s">
        <v>102</v>
      </c>
      <c r="M43" s="140"/>
      <c r="O43" s="992"/>
      <c r="P43" s="992"/>
      <c r="Q43" s="17"/>
      <c r="R43" s="207"/>
      <c r="S43" s="263">
        <f>S41-S42</f>
        <v>0.77476491329976582</v>
      </c>
      <c r="T43" s="7" t="s">
        <v>102</v>
      </c>
      <c r="V43" s="647" t="s">
        <v>596</v>
      </c>
    </row>
    <row r="44" spans="2:25" s="7" customFormat="1" ht="15.75" thickBot="1" x14ac:dyDescent="0.3">
      <c r="C44" s="1"/>
      <c r="D44" s="150"/>
      <c r="E44" s="268" t="s">
        <v>167</v>
      </c>
      <c r="F44" s="428" t="s">
        <v>150</v>
      </c>
      <c r="G44" s="17"/>
      <c r="H44" s="207"/>
      <c r="I44" s="261">
        <f>I31-I43</f>
        <v>7.4581394902669795E-2</v>
      </c>
      <c r="J44" s="54" t="s">
        <v>103</v>
      </c>
      <c r="M44" s="1"/>
      <c r="N44" s="150"/>
      <c r="O44" s="268" t="s">
        <v>167</v>
      </c>
      <c r="P44" s="428" t="s">
        <v>150</v>
      </c>
      <c r="Q44" s="17"/>
      <c r="R44" s="207"/>
      <c r="S44" s="261">
        <f>S31-S43</f>
        <v>36.632222933196346</v>
      </c>
      <c r="T44" s="54" t="s">
        <v>103</v>
      </c>
    </row>
    <row r="45" spans="2:25" ht="15.75" thickBot="1" x14ac:dyDescent="0.3">
      <c r="C45" s="288" t="s">
        <v>168</v>
      </c>
      <c r="D45" s="425">
        <v>16027.59</v>
      </c>
      <c r="E45" s="429">
        <f>1-F45</f>
        <v>0.33103416666666663</v>
      </c>
      <c r="F45" s="430">
        <f>(D45-$D$6)/$D$8</f>
        <v>0.66896583333333337</v>
      </c>
      <c r="H45" s="207"/>
      <c r="J45" s="188"/>
      <c r="M45" s="288" t="s">
        <v>168</v>
      </c>
      <c r="N45" s="702">
        <f>D45</f>
        <v>16027.59</v>
      </c>
      <c r="O45" s="429">
        <f>1-P45</f>
        <v>0.72225636363636359</v>
      </c>
      <c r="P45" s="430">
        <f>(N45-$D$16)/$D$18</f>
        <v>0.27774363636363641</v>
      </c>
      <c r="Q45" s="33"/>
      <c r="R45" s="207"/>
      <c r="S45" s="33"/>
      <c r="T45" s="188"/>
      <c r="U45" s="33"/>
    </row>
    <row r="46" spans="2:25" x14ac:dyDescent="0.25">
      <c r="H46" s="207"/>
    </row>
    <row r="47" spans="2:25" s="8" customFormat="1" x14ac:dyDescent="0.25">
      <c r="E47" s="143"/>
      <c r="F47" s="143"/>
      <c r="G47" s="140"/>
      <c r="H47" s="479"/>
      <c r="I47" s="140"/>
      <c r="J47" s="140"/>
      <c r="K47" s="140"/>
    </row>
    <row r="48" spans="2:25" s="8" customFormat="1" x14ac:dyDescent="0.25">
      <c r="B48" s="546"/>
      <c r="C48" s="140"/>
      <c r="D48" s="479"/>
      <c r="E48" s="378"/>
      <c r="F48" s="378"/>
      <c r="G48" s="140"/>
      <c r="H48" s="479"/>
      <c r="I48" s="140"/>
      <c r="J48" s="140"/>
      <c r="K48" s="140"/>
    </row>
    <row r="49" spans="2:24" x14ac:dyDescent="0.25">
      <c r="B49" s="239"/>
      <c r="L49" s="7"/>
      <c r="M49" s="7"/>
      <c r="N49" s="7"/>
      <c r="O49" s="7"/>
      <c r="P49" s="7"/>
    </row>
    <row r="50" spans="2:24" ht="31.5" customHeight="1" x14ac:dyDescent="0.5">
      <c r="B50" s="239"/>
      <c r="C50" s="1063" t="s">
        <v>582</v>
      </c>
      <c r="D50" s="1062"/>
      <c r="L50" s="7"/>
      <c r="M50" s="7"/>
      <c r="N50" s="7"/>
      <c r="O50" s="7"/>
      <c r="P50" s="7"/>
    </row>
    <row r="51" spans="2:24" ht="15" customHeight="1" x14ac:dyDescent="0.4">
      <c r="B51" s="6"/>
      <c r="C51" s="1062"/>
      <c r="D51" s="1062"/>
      <c r="L51" s="7"/>
      <c r="M51" s="7"/>
      <c r="N51" s="7"/>
      <c r="O51" s="7"/>
      <c r="P51" s="7"/>
      <c r="T51" s="8"/>
    </row>
    <row r="52" spans="2:24" x14ac:dyDescent="0.25">
      <c r="L52" s="7"/>
      <c r="M52" s="7"/>
      <c r="N52" s="7"/>
      <c r="O52" s="7"/>
      <c r="P52" s="7"/>
    </row>
    <row r="53" spans="2:24" x14ac:dyDescent="0.25">
      <c r="B53" s="33"/>
      <c r="D53" s="931" t="s">
        <v>567</v>
      </c>
      <c r="E53" s="84" t="s">
        <v>571</v>
      </c>
      <c r="F53" s="1092" t="s">
        <v>580</v>
      </c>
      <c r="G53" s="140"/>
      <c r="H53" s="140"/>
      <c r="I53" s="140"/>
      <c r="J53" s="140"/>
      <c r="L53" s="8"/>
      <c r="M53" s="7"/>
      <c r="N53" s="7"/>
      <c r="O53" s="7"/>
      <c r="P53" s="7"/>
    </row>
    <row r="54" spans="2:24" s="33" customFormat="1" x14ac:dyDescent="0.25">
      <c r="B54" s="33" t="s">
        <v>573</v>
      </c>
      <c r="D54" s="669">
        <f>H37</f>
        <v>15139.829522273259</v>
      </c>
      <c r="E54" s="1064">
        <f>F37</f>
        <v>0.5949857935227717</v>
      </c>
      <c r="F54" s="1093">
        <f>(D54-$D$6)/D54</f>
        <v>0.47159246488009382</v>
      </c>
      <c r="G54" s="140"/>
      <c r="H54" s="140"/>
      <c r="I54" s="143"/>
      <c r="J54" s="143"/>
      <c r="L54" s="8"/>
      <c r="M54" s="7"/>
      <c r="N54" s="7"/>
      <c r="O54" s="7"/>
      <c r="P54" s="7"/>
      <c r="Q54"/>
      <c r="R54"/>
    </row>
    <row r="55" spans="2:24" s="33" customFormat="1" x14ac:dyDescent="0.25">
      <c r="C55" s="1061"/>
      <c r="D55" s="3"/>
      <c r="E55" s="17"/>
      <c r="F55" s="140"/>
      <c r="G55" s="1066"/>
      <c r="H55" s="142"/>
      <c r="I55" s="1067"/>
      <c r="J55" s="1067"/>
      <c r="L55" s="8"/>
      <c r="M55" s="7"/>
      <c r="N55" s="7"/>
      <c r="O55" s="7"/>
      <c r="P55" s="7"/>
      <c r="Q55"/>
      <c r="R55"/>
    </row>
    <row r="56" spans="2:24" s="33" customFormat="1" ht="15" customHeight="1" x14ac:dyDescent="0.25">
      <c r="C56" s="1676" t="s">
        <v>576</v>
      </c>
      <c r="D56" s="1677"/>
      <c r="E56" s="1678" t="s">
        <v>577</v>
      </c>
      <c r="F56" s="1679"/>
      <c r="G56" s="1679"/>
      <c r="H56" s="1679"/>
      <c r="I56" s="1680"/>
      <c r="L56" s="17"/>
      <c r="M56" s="7"/>
      <c r="N56" s="7"/>
      <c r="O56" s="7"/>
      <c r="P56" s="7"/>
      <c r="Q56"/>
      <c r="R56"/>
    </row>
    <row r="57" spans="2:24" s="33" customFormat="1" x14ac:dyDescent="0.25">
      <c r="B57" s="458"/>
      <c r="C57" s="1043" t="s">
        <v>72</v>
      </c>
      <c r="D57" s="1044" t="s">
        <v>227</v>
      </c>
      <c r="E57" s="1045" t="s">
        <v>72</v>
      </c>
      <c r="F57" s="1082" t="s">
        <v>227</v>
      </c>
      <c r="G57" s="1083" t="s">
        <v>578</v>
      </c>
      <c r="H57" s="1083" t="s">
        <v>579</v>
      </c>
      <c r="I57" s="1084" t="s">
        <v>364</v>
      </c>
      <c r="J57" s="1072" t="s">
        <v>581</v>
      </c>
      <c r="L57" s="17"/>
      <c r="M57" s="7"/>
      <c r="N57" s="7"/>
      <c r="O57" s="7"/>
      <c r="P57" s="7"/>
      <c r="Q57"/>
      <c r="R57"/>
    </row>
    <row r="58" spans="2:24" s="33" customFormat="1" x14ac:dyDescent="0.25">
      <c r="B58" s="458" t="s">
        <v>585</v>
      </c>
      <c r="C58" s="723">
        <f>H38</f>
        <v>11799.746357746606</v>
      </c>
      <c r="D58" s="1068">
        <f>(C58-$D$54)/$D$54</f>
        <v>-0.22061563900787814</v>
      </c>
      <c r="E58" s="1064">
        <f>F38</f>
        <v>0.31664552981221722</v>
      </c>
      <c r="F58" s="724">
        <f>E58/$E$54</f>
        <v>0.53219006782907052</v>
      </c>
      <c r="G58" s="1070">
        <f>$F$54*F58</f>
        <v>0.2509768258722157</v>
      </c>
      <c r="H58" s="1069">
        <f>1-$F$54</f>
        <v>0.52840753511990624</v>
      </c>
      <c r="I58" s="1071">
        <f>(SUM(G58:H58)-1)/1</f>
        <v>-0.22061563900787806</v>
      </c>
      <c r="J58" s="8" t="b">
        <f>ROUND(D58,8) = ROUND(I58,8)</f>
        <v>1</v>
      </c>
      <c r="L58" s="17" t="s">
        <v>588</v>
      </c>
      <c r="M58" s="7"/>
      <c r="N58" s="7"/>
      <c r="O58" s="7"/>
      <c r="P58" s="7"/>
      <c r="Q58"/>
      <c r="R58"/>
    </row>
    <row r="59" spans="2:24" s="33" customFormat="1" x14ac:dyDescent="0.25">
      <c r="B59" s="458" t="s">
        <v>572</v>
      </c>
      <c r="C59" s="668">
        <f>H39</f>
        <v>15997.761051530328</v>
      </c>
      <c r="D59" s="1068">
        <f>(C59-$D$54)/$D$54</f>
        <v>5.6667185584547385E-2</v>
      </c>
      <c r="E59" s="1064">
        <f>F39</f>
        <v>0.66648008762752742</v>
      </c>
      <c r="F59" s="724">
        <f>E59/$E$54</f>
        <v>1.1201613465112414</v>
      </c>
      <c r="G59" s="1070">
        <f>$F$54*F59</f>
        <v>0.52825965046464118</v>
      </c>
      <c r="H59" s="1069">
        <f>1-$F$54</f>
        <v>0.52840753511990624</v>
      </c>
      <c r="I59" s="1071">
        <f>(SUM(G59:H59)-1)/1</f>
        <v>5.6667185584547308E-2</v>
      </c>
      <c r="J59" s="8" t="b">
        <f>ROUND(D59,8) = ROUND(I59,8)</f>
        <v>1</v>
      </c>
      <c r="L59" s="17" t="s">
        <v>589</v>
      </c>
      <c r="M59" s="7"/>
      <c r="N59" s="7"/>
      <c r="O59" s="7"/>
      <c r="P59" s="7"/>
      <c r="Q59"/>
      <c r="R59"/>
    </row>
    <row r="60" spans="2:24" s="33" customFormat="1" x14ac:dyDescent="0.25">
      <c r="B60" s="458" t="s">
        <v>574</v>
      </c>
      <c r="C60" s="723">
        <f>H40</f>
        <v>15790.017499865276</v>
      </c>
      <c r="D60" s="1068">
        <f>(C60-$D$54)/$D$54</f>
        <v>4.2945528325499312E-2</v>
      </c>
      <c r="E60" s="1064">
        <f>F40</f>
        <v>0.64916812498877297</v>
      </c>
      <c r="F60" s="724">
        <f>E60/$E$54</f>
        <v>1.0910649162649757</v>
      </c>
      <c r="G60" s="1070">
        <f>$F$54*F60</f>
        <v>0.51453799320559301</v>
      </c>
      <c r="H60" s="1069">
        <f>1-$F$54</f>
        <v>0.52840753511990624</v>
      </c>
      <c r="I60" s="1071">
        <f>(SUM(G60:H60)-1)/1</f>
        <v>4.294552832549936E-2</v>
      </c>
      <c r="J60" s="8" t="b">
        <f>ROUND(D60,8) = ROUND(I60,8)</f>
        <v>1</v>
      </c>
      <c r="L60" s="17"/>
      <c r="M60" s="7"/>
      <c r="N60" s="7"/>
      <c r="O60" s="7"/>
      <c r="P60" s="7"/>
      <c r="Q60"/>
      <c r="R60"/>
    </row>
    <row r="61" spans="2:24" x14ac:dyDescent="0.25">
      <c r="B61" s="458" t="s">
        <v>575</v>
      </c>
      <c r="C61" s="723">
        <f>H41</f>
        <v>16027.59</v>
      </c>
      <c r="D61" s="1068">
        <f>(C61-$D$54)/$D$54</f>
        <v>5.8637415726557174E-2</v>
      </c>
      <c r="E61" s="1064">
        <f>F41</f>
        <v>0.66896583333333337</v>
      </c>
      <c r="F61" s="724">
        <f>E61/$E$54</f>
        <v>1.1243391701380685</v>
      </c>
      <c r="G61" s="1070">
        <f>$F$54*F61</f>
        <v>0.53022988060665088</v>
      </c>
      <c r="H61" s="1069">
        <f>1-$F$54</f>
        <v>0.52840753511990624</v>
      </c>
      <c r="I61" s="1071">
        <f>(SUM(G61:H61)-1)/1</f>
        <v>5.8637415726557229E-2</v>
      </c>
      <c r="J61" s="8" t="b">
        <f>ROUND(D61,8) = ROUND(I61,8)</f>
        <v>1</v>
      </c>
      <c r="L61" s="7"/>
      <c r="M61" s="7"/>
      <c r="N61" s="7"/>
      <c r="O61" s="7"/>
      <c r="P61" s="7"/>
    </row>
    <row r="62" spans="2:24" s="33" customFormat="1" x14ac:dyDescent="0.25">
      <c r="B62"/>
      <c r="C62" s="459"/>
      <c r="D62" s="723"/>
      <c r="E62" s="84"/>
      <c r="F62" s="84"/>
      <c r="G62" s="84"/>
      <c r="H62" s="84"/>
      <c r="I62" s="84"/>
      <c r="L62" s="7"/>
      <c r="M62" s="7"/>
      <c r="N62" s="7"/>
      <c r="O62" s="7"/>
      <c r="P62" s="7"/>
      <c r="Q62"/>
      <c r="R62"/>
    </row>
    <row r="63" spans="2:24" s="33" customFormat="1" ht="33.75" x14ac:dyDescent="0.5">
      <c r="B63"/>
      <c r="C63" s="1063" t="s">
        <v>590</v>
      </c>
      <c r="D63" s="723"/>
      <c r="E63" s="84"/>
      <c r="F63" s="84"/>
      <c r="G63" s="84"/>
      <c r="H63" s="84"/>
      <c r="I63" s="84"/>
      <c r="L63" s="7"/>
      <c r="M63" s="7"/>
      <c r="N63" s="7"/>
      <c r="O63" s="7"/>
      <c r="P63" s="7"/>
      <c r="Q63"/>
      <c r="R63"/>
    </row>
    <row r="64" spans="2:24" s="33" customFormat="1" x14ac:dyDescent="0.25">
      <c r="B64"/>
      <c r="C64" s="459"/>
      <c r="D64" s="723"/>
      <c r="E64" s="84"/>
      <c r="F64" s="84"/>
      <c r="G64" s="84"/>
      <c r="H64" s="84"/>
      <c r="I64" s="84"/>
      <c r="L64" s="8"/>
      <c r="M64" s="8"/>
      <c r="N64" s="8"/>
      <c r="O64" s="8"/>
      <c r="P64" s="8"/>
      <c r="Q64" s="8"/>
      <c r="R64" s="8"/>
      <c r="S64" s="140"/>
      <c r="T64" s="140"/>
      <c r="U64" s="140"/>
      <c r="V64" s="140"/>
      <c r="W64" s="140"/>
      <c r="X64" s="140"/>
    </row>
    <row r="65" spans="2:24" s="33" customFormat="1" x14ac:dyDescent="0.25">
      <c r="B65"/>
      <c r="C65"/>
      <c r="D65"/>
      <c r="E65"/>
      <c r="F65" s="1046"/>
      <c r="G65" s="1046"/>
      <c r="H65" s="1046"/>
      <c r="I65" s="7"/>
      <c r="J65" s="7"/>
      <c r="K65" s="17"/>
      <c r="L65" s="140"/>
      <c r="M65" s="143"/>
      <c r="N65" s="143"/>
      <c r="O65" s="719"/>
      <c r="P65" s="140"/>
      <c r="Q65" s="8"/>
      <c r="R65" s="8"/>
      <c r="S65" s="140"/>
      <c r="T65" s="140"/>
      <c r="U65" s="140"/>
      <c r="V65" s="140"/>
      <c r="W65" s="140"/>
      <c r="X65" s="140"/>
    </row>
    <row r="66" spans="2:24" s="33" customFormat="1" ht="15.75" thickBot="1" x14ac:dyDescent="0.3">
      <c r="B66"/>
      <c r="C66" s="1682" t="s">
        <v>586</v>
      </c>
      <c r="D66" s="1683"/>
      <c r="E66" s="1682" t="s">
        <v>587</v>
      </c>
      <c r="F66" s="1684"/>
      <c r="H66" s="17"/>
      <c r="I66" s="7"/>
      <c r="J66" s="7"/>
      <c r="K66" s="17"/>
      <c r="L66" s="140"/>
      <c r="M66" s="377"/>
      <c r="N66" s="1071"/>
      <c r="O66" s="1074"/>
      <c r="P66" s="140"/>
      <c r="Q66" s="8"/>
      <c r="R66" s="8"/>
      <c r="S66" s="140"/>
      <c r="T66" s="140"/>
      <c r="U66" s="140"/>
      <c r="V66" s="140"/>
      <c r="W66" s="140"/>
      <c r="X66" s="140"/>
    </row>
    <row r="67" spans="2:24" s="33" customFormat="1" ht="15.75" thickTop="1" x14ac:dyDescent="0.25">
      <c r="B67"/>
      <c r="C67" s="1031" t="s">
        <v>567</v>
      </c>
      <c r="D67" s="931" t="s">
        <v>72</v>
      </c>
      <c r="E67" s="1031" t="s">
        <v>567</v>
      </c>
      <c r="F67" s="931" t="s">
        <v>72</v>
      </c>
      <c r="H67" s="1046"/>
      <c r="I67" s="647" t="s">
        <v>596</v>
      </c>
      <c r="J67" s="1046"/>
      <c r="K67" s="17"/>
      <c r="L67" s="140"/>
      <c r="M67" s="646"/>
      <c r="N67" s="8"/>
      <c r="O67" s="140"/>
      <c r="P67" s="140"/>
      <c r="Q67" s="1066"/>
      <c r="R67" s="142"/>
      <c r="S67" s="1067"/>
      <c r="T67" s="1067"/>
      <c r="U67" s="140"/>
      <c r="V67" s="140"/>
      <c r="W67" s="140"/>
      <c r="X67" s="140"/>
    </row>
    <row r="68" spans="2:24" x14ac:dyDescent="0.25">
      <c r="C68" s="1031">
        <v>8</v>
      </c>
      <c r="D68" s="931">
        <f t="shared" ref="D68:D92" si="13">IF(C68&lt;($D$15/1000),0, C68 - $D$15/1000 )</f>
        <v>0</v>
      </c>
      <c r="E68" s="667">
        <f t="shared" ref="E68:E92" si="14">((C68*1000)-$D$6)/$D$8</f>
        <v>0</v>
      </c>
      <c r="F68" s="669">
        <f>IF(E68&lt;$E$15,0,(E68-$E$15))</f>
        <v>0</v>
      </c>
      <c r="H68" s="1080"/>
      <c r="I68" s="7"/>
      <c r="J68" s="1081"/>
      <c r="K68" s="17"/>
      <c r="L68" s="140"/>
      <c r="M68" s="140"/>
      <c r="N68" s="140"/>
      <c r="O68" s="865"/>
      <c r="P68" s="865"/>
      <c r="Q68" s="865"/>
      <c r="R68" s="865"/>
      <c r="S68" s="865"/>
      <c r="T68" s="143"/>
      <c r="U68" s="140"/>
      <c r="V68" s="8"/>
      <c r="W68" s="8"/>
      <c r="X68" s="8"/>
    </row>
    <row r="69" spans="2:24" x14ac:dyDescent="0.25">
      <c r="C69" s="1031">
        <v>8.5</v>
      </c>
      <c r="D69" s="931">
        <f t="shared" si="13"/>
        <v>0</v>
      </c>
      <c r="E69" s="667">
        <f t="shared" si="14"/>
        <v>4.1666666666666664E-2</v>
      </c>
      <c r="F69" s="669">
        <f t="shared" ref="F69:F92" si="15">IF(E69&lt;$E$15,0,(E69-$E$15))</f>
        <v>0</v>
      </c>
      <c r="J69" s="931" t="s">
        <v>592</v>
      </c>
      <c r="K69" s="84" t="s">
        <v>571</v>
      </c>
      <c r="L69" s="1094" t="s">
        <v>593</v>
      </c>
      <c r="M69" s="1075"/>
      <c r="N69" s="140"/>
      <c r="O69" s="140"/>
      <c r="P69" s="140"/>
      <c r="Q69" s="143"/>
      <c r="R69" s="143"/>
      <c r="S69" s="1067"/>
      <c r="T69" s="8"/>
      <c r="U69" s="140"/>
      <c r="V69" s="8"/>
      <c r="W69" s="8"/>
      <c r="X69" s="8"/>
    </row>
    <row r="70" spans="2:24" x14ac:dyDescent="0.25">
      <c r="C70" s="1031">
        <v>9</v>
      </c>
      <c r="D70" s="931">
        <f t="shared" si="13"/>
        <v>0</v>
      </c>
      <c r="E70" s="667">
        <f t="shared" si="14"/>
        <v>8.3333333333333329E-2</v>
      </c>
      <c r="F70" s="669">
        <f t="shared" si="15"/>
        <v>0</v>
      </c>
      <c r="H70" s="33" t="s">
        <v>591</v>
      </c>
      <c r="J70" s="669">
        <f>R35</f>
        <v>1700.2551510031892</v>
      </c>
      <c r="K70" s="1064">
        <f>P35</f>
        <v>0.30913730018239804</v>
      </c>
      <c r="L70" s="1093">
        <v>1</v>
      </c>
      <c r="M70" s="140"/>
      <c r="N70" s="140"/>
      <c r="O70" s="1075"/>
      <c r="P70" s="1075"/>
      <c r="Q70" s="620"/>
      <c r="R70" s="1069"/>
      <c r="S70" s="1071"/>
      <c r="T70" s="8"/>
      <c r="U70" s="140"/>
      <c r="V70" s="8"/>
      <c r="W70" s="8"/>
      <c r="X70" s="8"/>
    </row>
    <row r="71" spans="2:24" x14ac:dyDescent="0.25">
      <c r="C71" s="1031">
        <v>9.5</v>
      </c>
      <c r="D71" s="931">
        <f t="shared" si="13"/>
        <v>0</v>
      </c>
      <c r="E71" s="667">
        <f t="shared" si="14"/>
        <v>0.125</v>
      </c>
      <c r="F71" s="669">
        <f t="shared" si="15"/>
        <v>0</v>
      </c>
      <c r="I71" s="1061"/>
      <c r="J71" s="3"/>
      <c r="K71" s="17"/>
      <c r="L71" s="140"/>
      <c r="M71" s="1066"/>
      <c r="N71" s="142"/>
      <c r="O71" s="1067"/>
      <c r="P71" s="1067"/>
      <c r="Q71" s="620"/>
      <c r="R71" s="1069"/>
      <c r="S71" s="1071"/>
      <c r="T71" s="8"/>
      <c r="U71" s="140"/>
      <c r="V71" s="8"/>
      <c r="W71" s="8"/>
      <c r="X71" s="8"/>
    </row>
    <row r="72" spans="2:24" ht="15" customHeight="1" x14ac:dyDescent="0.25">
      <c r="C72" s="1031">
        <v>10</v>
      </c>
      <c r="D72" s="931">
        <f t="shared" si="13"/>
        <v>0</v>
      </c>
      <c r="E72" s="667">
        <f t="shared" si="14"/>
        <v>0.16666666666666666</v>
      </c>
      <c r="F72" s="669">
        <f t="shared" si="15"/>
        <v>0</v>
      </c>
      <c r="I72" s="1676" t="s">
        <v>599</v>
      </c>
      <c r="J72" s="1677"/>
      <c r="K72" s="1678" t="s">
        <v>600</v>
      </c>
      <c r="L72" s="1679"/>
      <c r="M72" s="1679"/>
      <c r="N72" s="1679"/>
      <c r="O72" s="1680"/>
      <c r="Q72" s="620"/>
      <c r="R72" s="1069"/>
      <c r="S72" s="1071"/>
      <c r="T72" s="8"/>
      <c r="U72" s="140"/>
      <c r="V72" s="8"/>
      <c r="W72" s="8"/>
      <c r="X72" s="8"/>
    </row>
    <row r="73" spans="2:24" x14ac:dyDescent="0.25">
      <c r="C73" s="1031">
        <v>10.5</v>
      </c>
      <c r="D73" s="931">
        <f t="shared" si="13"/>
        <v>0</v>
      </c>
      <c r="E73" s="667">
        <f t="shared" si="14"/>
        <v>0.20833333333333334</v>
      </c>
      <c r="F73" s="669">
        <f t="shared" si="15"/>
        <v>0</v>
      </c>
      <c r="H73" s="458"/>
      <c r="I73" s="1043" t="s">
        <v>72</v>
      </c>
      <c r="J73" s="1044" t="s">
        <v>227</v>
      </c>
      <c r="K73" s="1045" t="s">
        <v>72</v>
      </c>
      <c r="L73" s="1082" t="s">
        <v>227</v>
      </c>
      <c r="M73" s="1083" t="s">
        <v>578</v>
      </c>
      <c r="N73" s="1083" t="s">
        <v>579</v>
      </c>
      <c r="O73" s="1084" t="s">
        <v>364</v>
      </c>
      <c r="P73" s="1072" t="s">
        <v>581</v>
      </c>
      <c r="Q73" s="620"/>
      <c r="R73" s="1069"/>
      <c r="S73" s="1071"/>
      <c r="T73" s="8"/>
      <c r="U73" s="1076"/>
      <c r="V73" s="8"/>
      <c r="W73" s="8"/>
      <c r="X73" s="8"/>
    </row>
    <row r="74" spans="2:24" x14ac:dyDescent="0.25">
      <c r="C74" s="1031">
        <v>11</v>
      </c>
      <c r="D74" s="931">
        <f t="shared" si="13"/>
        <v>0</v>
      </c>
      <c r="E74" s="667">
        <f t="shared" si="14"/>
        <v>0.25</v>
      </c>
      <c r="F74" s="669">
        <f t="shared" si="15"/>
        <v>0</v>
      </c>
      <c r="H74" s="458" t="s">
        <v>585</v>
      </c>
      <c r="I74" s="723">
        <f>R38</f>
        <v>3.2339133086030938E-2</v>
      </c>
      <c r="J74" s="1068">
        <f>(I74-$J$70)/$J$70</f>
        <v>-0.9999809798352518</v>
      </c>
      <c r="K74" s="1064">
        <f>P38</f>
        <v>5.8798423792783525E-6</v>
      </c>
      <c r="L74" s="724">
        <f>K74/$K$70</f>
        <v>1.9020164748185066E-5</v>
      </c>
      <c r="M74" s="1070">
        <f>$L$70*L74</f>
        <v>1.9020164748185066E-5</v>
      </c>
      <c r="N74" s="1069">
        <f>1-$L$70</f>
        <v>0</v>
      </c>
      <c r="O74" s="1071">
        <f>(SUM(M74:N74)-1)/1</f>
        <v>-0.9999809798352518</v>
      </c>
      <c r="P74" s="8" t="b">
        <f>ROUND(J74,8) = ROUND(O74,8)</f>
        <v>1</v>
      </c>
      <c r="Q74" s="620"/>
      <c r="R74" s="1069"/>
      <c r="S74" s="1071"/>
      <c r="T74" s="8"/>
      <c r="U74" s="8"/>
      <c r="V74" s="8"/>
      <c r="W74" s="8"/>
      <c r="X74" s="8"/>
    </row>
    <row r="75" spans="2:24" x14ac:dyDescent="0.25">
      <c r="C75" s="1031">
        <v>11.5</v>
      </c>
      <c r="D75" s="931">
        <f t="shared" si="13"/>
        <v>0</v>
      </c>
      <c r="E75" s="667">
        <f t="shared" si="14"/>
        <v>0.29166666666666669</v>
      </c>
      <c r="F75" s="669">
        <f t="shared" si="15"/>
        <v>0</v>
      </c>
      <c r="H75" s="458" t="s">
        <v>572</v>
      </c>
      <c r="I75" s="723">
        <f>R39</f>
        <v>1497.7609651230746</v>
      </c>
      <c r="J75" s="1068">
        <f>(I75-$J$70)/$J$70</f>
        <v>-0.11909635195672746</v>
      </c>
      <c r="K75" s="1064">
        <f>P39</f>
        <v>0.27232017547692267</v>
      </c>
      <c r="L75" s="724">
        <f>K75/$K$70</f>
        <v>0.88090364804327259</v>
      </c>
      <c r="M75" s="1070">
        <f>$L$70*L75</f>
        <v>0.88090364804327259</v>
      </c>
      <c r="N75" s="1069">
        <f>1-$L$70</f>
        <v>0</v>
      </c>
      <c r="O75" s="1071">
        <f>(SUM(M75:N75)-1)/1</f>
        <v>-0.11909635195672741</v>
      </c>
      <c r="P75" s="8" t="b">
        <f>ROUND(J75,8) = ROUND(O75,8)</f>
        <v>1</v>
      </c>
      <c r="Q75" s="620"/>
      <c r="R75" s="1069"/>
      <c r="S75" s="1071"/>
      <c r="T75" s="8"/>
      <c r="U75" s="8"/>
      <c r="V75" s="8"/>
      <c r="W75" s="8"/>
      <c r="X75" s="8"/>
    </row>
    <row r="76" spans="2:24" x14ac:dyDescent="0.25">
      <c r="C76" s="1031">
        <v>12</v>
      </c>
      <c r="D76" s="931">
        <f t="shared" si="13"/>
        <v>0</v>
      </c>
      <c r="E76" s="667">
        <f t="shared" si="14"/>
        <v>0.33333333333333331</v>
      </c>
      <c r="F76" s="669">
        <f t="shared" si="15"/>
        <v>0</v>
      </c>
      <c r="H76" s="458" t="s">
        <v>574</v>
      </c>
      <c r="I76" s="723">
        <f>R40</f>
        <v>1290.0174714479231</v>
      </c>
      <c r="J76" s="1068">
        <f>(I76-$J$70)/$J$70</f>
        <v>-0.24128006864923573</v>
      </c>
      <c r="K76" s="1064">
        <f>P40</f>
        <v>0.23454863117234964</v>
      </c>
      <c r="L76" s="724">
        <f>K76/$K$70</f>
        <v>0.75871993135076421</v>
      </c>
      <c r="M76" s="1070">
        <f>$L$70*L76</f>
        <v>0.75871993135076421</v>
      </c>
      <c r="N76" s="1069">
        <f>1-$L$70</f>
        <v>0</v>
      </c>
      <c r="O76" s="1071">
        <f>(SUM(M76:N76)-1)/1</f>
        <v>-0.24128006864923579</v>
      </c>
      <c r="P76" s="8" t="b">
        <f>ROUND(J76,8) = ROUND(O76,8)</f>
        <v>1</v>
      </c>
      <c r="Q76" s="8"/>
      <c r="R76" s="8"/>
      <c r="S76" s="8"/>
      <c r="T76" s="8"/>
      <c r="U76" s="8"/>
      <c r="V76" s="8"/>
      <c r="W76" s="8"/>
      <c r="X76" s="8"/>
    </row>
    <row r="77" spans="2:24" x14ac:dyDescent="0.25">
      <c r="C77" s="1031">
        <v>12.5</v>
      </c>
      <c r="D77" s="931">
        <f t="shared" si="13"/>
        <v>0</v>
      </c>
      <c r="E77" s="667">
        <f t="shared" si="14"/>
        <v>0.375</v>
      </c>
      <c r="F77" s="669">
        <f t="shared" si="15"/>
        <v>0</v>
      </c>
      <c r="H77" s="458" t="s">
        <v>575</v>
      </c>
      <c r="I77" s="723">
        <f>R41</f>
        <v>1527.5900000000004</v>
      </c>
      <c r="J77" s="1068">
        <f>(I77-$J$70)/$J$70</f>
        <v>-0.10155249398968882</v>
      </c>
      <c r="K77" s="1064">
        <f>P41</f>
        <v>0.27774363636363641</v>
      </c>
      <c r="L77" s="724">
        <f>K77/$K$70</f>
        <v>0.89844750601031109</v>
      </c>
      <c r="M77" s="1070">
        <f>$L$70*L77</f>
        <v>0.89844750601031109</v>
      </c>
      <c r="N77" s="1069">
        <f>1-$L$70</f>
        <v>0</v>
      </c>
      <c r="O77" s="1071">
        <f>(SUM(M77:N77)-1)/1</f>
        <v>-0.10155249398968891</v>
      </c>
      <c r="P77" s="8" t="b">
        <f>ROUND(J77,8) = ROUND(O77,8)</f>
        <v>1</v>
      </c>
      <c r="Q77" s="8"/>
      <c r="R77" s="8"/>
      <c r="S77" s="8"/>
      <c r="T77" s="8"/>
      <c r="U77" s="8"/>
      <c r="V77" s="8"/>
      <c r="W77" s="8"/>
      <c r="X77" s="8"/>
    </row>
    <row r="78" spans="2:24" x14ac:dyDescent="0.25">
      <c r="C78" s="1031">
        <v>13</v>
      </c>
      <c r="D78" s="931">
        <f t="shared" si="13"/>
        <v>0</v>
      </c>
      <c r="E78" s="667">
        <f t="shared" si="14"/>
        <v>0.41666666666666669</v>
      </c>
      <c r="F78" s="669">
        <f t="shared" si="15"/>
        <v>0</v>
      </c>
      <c r="H78" s="1080"/>
      <c r="I78" s="7"/>
      <c r="J78" s="1081"/>
      <c r="K78" s="17"/>
      <c r="L78" s="8"/>
      <c r="M78" s="8"/>
      <c r="N78" s="8"/>
      <c r="O78" s="8"/>
      <c r="P78" s="8"/>
      <c r="Q78" s="8"/>
      <c r="R78" s="8"/>
      <c r="S78" s="8"/>
      <c r="T78" s="8"/>
      <c r="U78" s="8"/>
      <c r="V78" s="8"/>
      <c r="W78" s="8"/>
      <c r="X78" s="8"/>
    </row>
    <row r="79" spans="2:24" x14ac:dyDescent="0.25">
      <c r="C79" s="1031">
        <v>13.5</v>
      </c>
      <c r="D79" s="931">
        <f t="shared" si="13"/>
        <v>0</v>
      </c>
      <c r="E79" s="667">
        <f t="shared" si="14"/>
        <v>0.45833333333333331</v>
      </c>
      <c r="F79" s="669">
        <f t="shared" si="15"/>
        <v>0</v>
      </c>
      <c r="H79" s="1080"/>
      <c r="I79" s="7"/>
      <c r="J79" s="1081"/>
      <c r="K79" s="17"/>
    </row>
    <row r="80" spans="2:24" x14ac:dyDescent="0.25">
      <c r="C80" s="1031">
        <v>14</v>
      </c>
      <c r="D80" s="931">
        <f t="shared" si="13"/>
        <v>0</v>
      </c>
      <c r="E80" s="667">
        <f t="shared" si="14"/>
        <v>0.5</v>
      </c>
      <c r="F80" s="669">
        <f t="shared" si="15"/>
        <v>0</v>
      </c>
      <c r="H80" s="1085" t="s">
        <v>601</v>
      </c>
      <c r="I80" s="7"/>
      <c r="J80" s="1081"/>
      <c r="K80" s="17"/>
    </row>
    <row r="81" spans="3:11" x14ac:dyDescent="0.25">
      <c r="C81" s="1031">
        <v>14.5</v>
      </c>
      <c r="D81" s="931">
        <f t="shared" si="13"/>
        <v>0</v>
      </c>
      <c r="E81" s="667">
        <f t="shared" si="14"/>
        <v>0.54166666666666663</v>
      </c>
      <c r="F81" s="669">
        <f t="shared" si="15"/>
        <v>0</v>
      </c>
      <c r="H81" s="1085" t="s">
        <v>607</v>
      </c>
      <c r="I81" s="7"/>
      <c r="J81" s="1081"/>
      <c r="K81" s="17"/>
    </row>
    <row r="82" spans="3:11" x14ac:dyDescent="0.25">
      <c r="C82" s="1031">
        <v>15</v>
      </c>
      <c r="D82" s="931">
        <f t="shared" si="13"/>
        <v>0.5</v>
      </c>
      <c r="E82" s="667">
        <f t="shared" si="14"/>
        <v>0.58333333333333337</v>
      </c>
      <c r="F82" s="669">
        <f t="shared" si="15"/>
        <v>4.1666666666666741E-2</v>
      </c>
      <c r="H82" s="1085" t="s">
        <v>608</v>
      </c>
      <c r="I82" s="7"/>
      <c r="J82" s="1081"/>
      <c r="K82" s="253"/>
    </row>
    <row r="83" spans="3:11" x14ac:dyDescent="0.25">
      <c r="C83" s="1031">
        <v>15.5</v>
      </c>
      <c r="D83" s="931">
        <f t="shared" si="13"/>
        <v>1</v>
      </c>
      <c r="E83" s="667">
        <f t="shared" si="14"/>
        <v>0.625</v>
      </c>
      <c r="F83" s="669">
        <f t="shared" si="15"/>
        <v>8.333333333333337E-2</v>
      </c>
      <c r="H83" s="1080"/>
      <c r="I83" s="7"/>
      <c r="J83" s="1081"/>
      <c r="K83" s="253"/>
    </row>
    <row r="84" spans="3:11" x14ac:dyDescent="0.25">
      <c r="C84" s="1031">
        <v>16</v>
      </c>
      <c r="D84" s="931">
        <f t="shared" si="13"/>
        <v>1.5</v>
      </c>
      <c r="E84" s="667">
        <f t="shared" si="14"/>
        <v>0.66666666666666663</v>
      </c>
      <c r="F84" s="669">
        <f t="shared" si="15"/>
        <v>0.125</v>
      </c>
      <c r="H84" s="1085" t="s">
        <v>609</v>
      </c>
      <c r="I84" s="7"/>
      <c r="J84" s="1081"/>
      <c r="K84" s="253"/>
    </row>
    <row r="85" spans="3:11" x14ac:dyDescent="0.25">
      <c r="C85" s="1031">
        <v>16.5</v>
      </c>
      <c r="D85" s="931">
        <f t="shared" si="13"/>
        <v>2</v>
      </c>
      <c r="E85" s="667">
        <f t="shared" si="14"/>
        <v>0.70833333333333337</v>
      </c>
      <c r="F85" s="669">
        <f t="shared" si="15"/>
        <v>0.16666666666666674</v>
      </c>
      <c r="H85" s="1080"/>
      <c r="I85" s="7"/>
      <c r="J85" s="1081"/>
      <c r="K85" s="253"/>
    </row>
    <row r="86" spans="3:11" x14ac:dyDescent="0.25">
      <c r="C86" s="1031">
        <v>17</v>
      </c>
      <c r="D86" s="931">
        <f t="shared" si="13"/>
        <v>2.5</v>
      </c>
      <c r="E86" s="667">
        <f t="shared" si="14"/>
        <v>0.75</v>
      </c>
      <c r="F86" s="669">
        <f t="shared" si="15"/>
        <v>0.20833333333333337</v>
      </c>
      <c r="H86" s="1080"/>
      <c r="I86" s="7"/>
      <c r="J86" s="1081"/>
      <c r="K86" s="253"/>
    </row>
    <row r="87" spans="3:11" x14ac:dyDescent="0.25">
      <c r="C87" s="1031">
        <v>17.5</v>
      </c>
      <c r="D87" s="931">
        <f t="shared" si="13"/>
        <v>3</v>
      </c>
      <c r="E87" s="667">
        <f t="shared" si="14"/>
        <v>0.79166666666666663</v>
      </c>
      <c r="F87" s="669">
        <f t="shared" si="15"/>
        <v>0.25</v>
      </c>
      <c r="H87" s="1080"/>
      <c r="I87" s="7"/>
      <c r="J87" s="1081"/>
      <c r="K87" s="253"/>
    </row>
    <row r="88" spans="3:11" x14ac:dyDescent="0.25">
      <c r="C88" s="1031">
        <v>18</v>
      </c>
      <c r="D88" s="931">
        <f t="shared" si="13"/>
        <v>3.5</v>
      </c>
      <c r="E88" s="667">
        <f t="shared" si="14"/>
        <v>0.83333333333333337</v>
      </c>
      <c r="F88" s="669">
        <f t="shared" si="15"/>
        <v>0.29166666666666674</v>
      </c>
      <c r="H88" s="1080"/>
      <c r="I88" s="7"/>
      <c r="J88" s="1081"/>
      <c r="K88" s="253"/>
    </row>
    <row r="89" spans="3:11" x14ac:dyDescent="0.25">
      <c r="C89" s="1031">
        <v>18.5</v>
      </c>
      <c r="D89" s="931">
        <f t="shared" si="13"/>
        <v>4</v>
      </c>
      <c r="E89" s="667">
        <f t="shared" si="14"/>
        <v>0.875</v>
      </c>
      <c r="F89" s="669">
        <f t="shared" si="15"/>
        <v>0.33333333333333337</v>
      </c>
      <c r="H89" s="1080"/>
      <c r="I89" s="7"/>
      <c r="J89" s="1081"/>
      <c r="K89" s="253"/>
    </row>
    <row r="90" spans="3:11" x14ac:dyDescent="0.25">
      <c r="C90" s="1031">
        <v>19</v>
      </c>
      <c r="D90" s="931">
        <f t="shared" si="13"/>
        <v>4.5</v>
      </c>
      <c r="E90" s="667">
        <f t="shared" si="14"/>
        <v>0.91666666666666663</v>
      </c>
      <c r="F90" s="669">
        <f t="shared" si="15"/>
        <v>0.375</v>
      </c>
      <c r="H90" s="1080"/>
      <c r="I90" s="7"/>
      <c r="J90" s="1081"/>
      <c r="K90" s="253"/>
    </row>
    <row r="91" spans="3:11" ht="15" customHeight="1" x14ac:dyDescent="0.25">
      <c r="C91" s="1031">
        <v>19.5</v>
      </c>
      <c r="D91" s="931">
        <f t="shared" si="13"/>
        <v>5</v>
      </c>
      <c r="E91" s="667">
        <f t="shared" si="14"/>
        <v>0.95833333333333337</v>
      </c>
      <c r="F91" s="669">
        <f t="shared" si="15"/>
        <v>0.41666666666666674</v>
      </c>
      <c r="H91" s="1080"/>
      <c r="I91" s="7"/>
      <c r="J91" s="1081"/>
      <c r="K91" s="253"/>
    </row>
    <row r="92" spans="3:11" x14ac:dyDescent="0.25">
      <c r="C92" s="1029">
        <v>20</v>
      </c>
      <c r="D92" s="1078">
        <f t="shared" si="13"/>
        <v>5.5</v>
      </c>
      <c r="E92" s="1079">
        <f t="shared" si="14"/>
        <v>1</v>
      </c>
      <c r="F92" s="680">
        <f t="shared" si="15"/>
        <v>0.45833333333333337</v>
      </c>
      <c r="H92" s="1080"/>
      <c r="I92" s="7"/>
      <c r="J92" s="1081"/>
      <c r="K92" s="253"/>
    </row>
    <row r="93" spans="3:11" x14ac:dyDescent="0.25">
      <c r="C93" s="7"/>
      <c r="D93" s="7"/>
      <c r="E93" s="7"/>
      <c r="F93" s="7"/>
      <c r="G93" s="7"/>
      <c r="H93" s="7"/>
      <c r="I93" s="7"/>
      <c r="J93" s="7"/>
      <c r="K93" s="17"/>
    </row>
    <row r="94" spans="3:11" x14ac:dyDescent="0.25">
      <c r="H94" s="17"/>
      <c r="I94" s="17"/>
      <c r="J94" s="140"/>
      <c r="K94" s="17"/>
    </row>
    <row r="95" spans="3:11" ht="33.75" x14ac:dyDescent="0.5">
      <c r="C95" s="1063" t="s">
        <v>606</v>
      </c>
      <c r="H95" s="17"/>
      <c r="I95" s="17"/>
      <c r="J95" s="17"/>
      <c r="K95" s="17"/>
    </row>
    <row r="96" spans="3:11" x14ac:dyDescent="0.25">
      <c r="H96" s="17"/>
      <c r="I96" s="17"/>
      <c r="J96" s="17"/>
      <c r="K96" s="17"/>
    </row>
    <row r="98" spans="3:17" ht="15.75" thickBot="1" x14ac:dyDescent="0.3">
      <c r="C98" s="1682" t="s">
        <v>586</v>
      </c>
      <c r="D98" s="1683"/>
      <c r="E98" s="1682" t="s">
        <v>587</v>
      </c>
      <c r="F98" s="1684"/>
    </row>
    <row r="99" spans="3:17" ht="15.75" thickTop="1" x14ac:dyDescent="0.25">
      <c r="C99" s="1031" t="s">
        <v>567</v>
      </c>
      <c r="D99" s="931" t="s">
        <v>72</v>
      </c>
      <c r="E99" s="1031" t="s">
        <v>567</v>
      </c>
      <c r="F99" s="931" t="s">
        <v>72</v>
      </c>
      <c r="H99" s="647" t="str">
        <f ca="1">"The previous example (above) topped out at .46 (cell "&amp;CELL("address",F92)&amp;")."</f>
        <v>The previous example (above) topped out at .46 (cell $F$92).</v>
      </c>
    </row>
    <row r="100" spans="3:17" x14ac:dyDescent="0.25">
      <c r="C100" s="1031">
        <v>8</v>
      </c>
      <c r="D100" s="931">
        <f t="shared" ref="D100:D124" si="16">IF(C100&lt;($D$15/1000),0, C100 - $D$15/1000 )</f>
        <v>0</v>
      </c>
      <c r="E100" s="667">
        <f t="shared" ref="E100:E124" si="17">((C100*1000)-$D$6)/$D$8</f>
        <v>0</v>
      </c>
      <c r="F100" s="669">
        <f>IF( E100&lt;$E$15,0,(E100-$E$15) )  / (1-$E$15)</f>
        <v>0</v>
      </c>
      <c r="H100" s="33" t="s">
        <v>602</v>
      </c>
    </row>
    <row r="101" spans="3:17" x14ac:dyDescent="0.25">
      <c r="C101" s="1031">
        <v>8.5</v>
      </c>
      <c r="D101" s="931">
        <f t="shared" si="16"/>
        <v>0</v>
      </c>
      <c r="E101" s="667">
        <f t="shared" si="17"/>
        <v>4.1666666666666664E-2</v>
      </c>
      <c r="F101" s="669">
        <f t="shared" ref="F101:F124" si="18">IF( E101&lt;$E$15,0,(E101-$E$15) )  / (1-$E$15)</f>
        <v>0</v>
      </c>
    </row>
    <row r="102" spans="3:17" x14ac:dyDescent="0.25">
      <c r="C102" s="1031">
        <v>9</v>
      </c>
      <c r="D102" s="931">
        <f t="shared" si="16"/>
        <v>0</v>
      </c>
      <c r="E102" s="667">
        <f t="shared" si="17"/>
        <v>8.3333333333333329E-2</v>
      </c>
      <c r="F102" s="669">
        <f t="shared" si="18"/>
        <v>0</v>
      </c>
      <c r="H102" s="1681" t="s">
        <v>603</v>
      </c>
      <c r="I102" s="1681"/>
      <c r="J102" s="1681"/>
    </row>
    <row r="103" spans="3:17" x14ac:dyDescent="0.25">
      <c r="C103" s="1031">
        <v>9.5</v>
      </c>
      <c r="D103" s="931">
        <f t="shared" si="16"/>
        <v>0</v>
      </c>
      <c r="E103" s="667">
        <f t="shared" si="17"/>
        <v>0.125</v>
      </c>
      <c r="F103" s="669">
        <f t="shared" si="18"/>
        <v>0</v>
      </c>
      <c r="H103" s="17"/>
      <c r="I103" s="7"/>
      <c r="J103" s="7"/>
      <c r="K103" s="17"/>
      <c r="L103" s="140"/>
      <c r="M103" s="377"/>
      <c r="N103" s="1071"/>
      <c r="O103" s="1074"/>
      <c r="P103" s="140"/>
      <c r="Q103" s="8"/>
    </row>
    <row r="104" spans="3:17" x14ac:dyDescent="0.25">
      <c r="C104" s="1031">
        <v>10</v>
      </c>
      <c r="D104" s="931">
        <f t="shared" si="16"/>
        <v>0</v>
      </c>
      <c r="E104" s="667">
        <f t="shared" si="17"/>
        <v>0.16666666666666666</v>
      </c>
      <c r="F104" s="669">
        <f t="shared" si="18"/>
        <v>0</v>
      </c>
      <c r="H104" s="189" t="s">
        <v>605</v>
      </c>
      <c r="I104" s="647"/>
      <c r="J104" s="1046"/>
      <c r="K104" s="17"/>
      <c r="L104" s="140"/>
      <c r="M104" s="646"/>
      <c r="N104" s="8"/>
      <c r="O104" s="140"/>
      <c r="P104" s="140"/>
      <c r="Q104" s="1066"/>
    </row>
    <row r="105" spans="3:17" x14ac:dyDescent="0.25">
      <c r="C105" s="1031">
        <v>10.5</v>
      </c>
      <c r="D105" s="931">
        <f t="shared" si="16"/>
        <v>0</v>
      </c>
      <c r="E105" s="667">
        <f t="shared" si="17"/>
        <v>0.20833333333333334</v>
      </c>
      <c r="F105" s="669">
        <f t="shared" si="18"/>
        <v>0</v>
      </c>
      <c r="H105" s="1080"/>
      <c r="I105" s="7"/>
      <c r="J105" s="1081"/>
      <c r="K105" s="17"/>
      <c r="L105" s="140"/>
      <c r="M105" s="140"/>
      <c r="N105" s="140"/>
      <c r="O105" s="865"/>
      <c r="P105" s="865"/>
      <c r="Q105" s="865"/>
    </row>
    <row r="106" spans="3:17" x14ac:dyDescent="0.25">
      <c r="C106" s="1031">
        <v>11</v>
      </c>
      <c r="D106" s="931">
        <f t="shared" si="16"/>
        <v>0</v>
      </c>
      <c r="E106" s="667">
        <f t="shared" si="17"/>
        <v>0.25</v>
      </c>
      <c r="F106" s="669">
        <f t="shared" si="18"/>
        <v>0</v>
      </c>
      <c r="J106" s="931" t="s">
        <v>592</v>
      </c>
      <c r="K106" s="84" t="s">
        <v>571</v>
      </c>
      <c r="L106" s="719" t="s">
        <v>593</v>
      </c>
      <c r="M106" s="1075" t="s">
        <v>594</v>
      </c>
      <c r="N106" s="1075" t="s">
        <v>595</v>
      </c>
      <c r="O106" s="140"/>
      <c r="P106" s="140"/>
      <c r="Q106" s="1075"/>
    </row>
    <row r="107" spans="3:17" x14ac:dyDescent="0.25">
      <c r="C107" s="1031">
        <v>11.5</v>
      </c>
      <c r="D107" s="931">
        <f t="shared" si="16"/>
        <v>0</v>
      </c>
      <c r="E107" s="667">
        <f t="shared" si="17"/>
        <v>0.29166666666666669</v>
      </c>
      <c r="F107" s="669">
        <f t="shared" si="18"/>
        <v>0</v>
      </c>
      <c r="H107" s="33" t="s">
        <v>591</v>
      </c>
      <c r="J107" s="1095">
        <f>J70</f>
        <v>1700.2551510031892</v>
      </c>
      <c r="K107" s="1091">
        <f>K70/(1-$E$15)</f>
        <v>0.67448138221614118</v>
      </c>
      <c r="L107" s="1065">
        <v>1</v>
      </c>
      <c r="M107" s="1075">
        <f>1/(1-$E$15)</f>
        <v>2.1818181818181817</v>
      </c>
      <c r="N107" s="140">
        <f>L107*M107</f>
        <v>2.1818181818181817</v>
      </c>
      <c r="O107" s="1075"/>
      <c r="P107" s="1075"/>
      <c r="Q107" s="620"/>
    </row>
    <row r="108" spans="3:17" x14ac:dyDescent="0.25">
      <c r="C108" s="1031">
        <v>12</v>
      </c>
      <c r="D108" s="931">
        <f t="shared" si="16"/>
        <v>0</v>
      </c>
      <c r="E108" s="667">
        <f t="shared" si="17"/>
        <v>0.33333333333333331</v>
      </c>
      <c r="F108" s="669">
        <f t="shared" si="18"/>
        <v>0</v>
      </c>
      <c r="I108" s="1061"/>
      <c r="J108" s="3"/>
      <c r="K108" s="17"/>
      <c r="L108" s="140"/>
      <c r="M108" s="1066"/>
      <c r="N108" s="142"/>
      <c r="O108" s="1067"/>
      <c r="P108" s="1067"/>
      <c r="Q108" s="620"/>
    </row>
    <row r="109" spans="3:17" x14ac:dyDescent="0.25">
      <c r="C109" s="1031">
        <v>12.5</v>
      </c>
      <c r="D109" s="931">
        <f t="shared" si="16"/>
        <v>0</v>
      </c>
      <c r="E109" s="667">
        <f t="shared" si="17"/>
        <v>0.375</v>
      </c>
      <c r="F109" s="669">
        <f t="shared" si="18"/>
        <v>0</v>
      </c>
      <c r="I109" s="1676" t="s">
        <v>599</v>
      </c>
      <c r="J109" s="1677"/>
      <c r="K109" s="1678" t="s">
        <v>604</v>
      </c>
      <c r="L109" s="1679"/>
      <c r="M109" s="1679"/>
      <c r="N109" s="1679"/>
      <c r="O109" s="1680"/>
      <c r="Q109" s="620"/>
    </row>
    <row r="110" spans="3:17" x14ac:dyDescent="0.25">
      <c r="C110" s="1031">
        <v>13</v>
      </c>
      <c r="D110" s="931">
        <f t="shared" si="16"/>
        <v>0</v>
      </c>
      <c r="E110" s="667">
        <f t="shared" si="17"/>
        <v>0.41666666666666669</v>
      </c>
      <c r="F110" s="669">
        <f t="shared" si="18"/>
        <v>0</v>
      </c>
      <c r="H110" s="458"/>
      <c r="I110" s="1043" t="s">
        <v>72</v>
      </c>
      <c r="J110" s="1044" t="s">
        <v>227</v>
      </c>
      <c r="K110" s="1045" t="s">
        <v>72</v>
      </c>
      <c r="L110" s="1082" t="s">
        <v>227</v>
      </c>
      <c r="M110" s="1083" t="s">
        <v>578</v>
      </c>
      <c r="N110" s="1083" t="s">
        <v>579</v>
      </c>
      <c r="O110" s="1084" t="s">
        <v>364</v>
      </c>
      <c r="P110" s="1072" t="s">
        <v>581</v>
      </c>
      <c r="Q110" s="620"/>
    </row>
    <row r="111" spans="3:17" x14ac:dyDescent="0.25">
      <c r="C111" s="1031">
        <v>13.5</v>
      </c>
      <c r="D111" s="931">
        <f t="shared" si="16"/>
        <v>0</v>
      </c>
      <c r="E111" s="667">
        <f t="shared" si="17"/>
        <v>0.45833333333333331</v>
      </c>
      <c r="F111" s="669">
        <f t="shared" si="18"/>
        <v>0</v>
      </c>
      <c r="H111" s="458" t="s">
        <v>585</v>
      </c>
      <c r="I111" s="1089">
        <f t="shared" ref="I111:J114" si="19">I74</f>
        <v>3.2339133086030938E-2</v>
      </c>
      <c r="J111" s="1090">
        <f t="shared" si="19"/>
        <v>-0.9999809798352518</v>
      </c>
      <c r="K111" s="1091">
        <f>K74/(1-$E$15)</f>
        <v>1.2828747009334586E-5</v>
      </c>
      <c r="L111" s="724">
        <f>K111/$K$107</f>
        <v>1.9020164748185066E-5</v>
      </c>
      <c r="M111" s="1070">
        <f>$L$70*L111</f>
        <v>1.9020164748185066E-5</v>
      </c>
      <c r="N111" s="1069">
        <f>1-$L$70</f>
        <v>0</v>
      </c>
      <c r="O111" s="1071">
        <f>(SUM(M111:N111)-1)/1</f>
        <v>-0.9999809798352518</v>
      </c>
      <c r="P111" s="8" t="b">
        <f>ROUND(J111,8) = ROUND(O111,8)</f>
        <v>1</v>
      </c>
      <c r="Q111" s="620"/>
    </row>
    <row r="112" spans="3:17" x14ac:dyDescent="0.25">
      <c r="C112" s="1031">
        <v>14</v>
      </c>
      <c r="D112" s="931">
        <f t="shared" si="16"/>
        <v>0</v>
      </c>
      <c r="E112" s="667">
        <f t="shared" si="17"/>
        <v>0.5</v>
      </c>
      <c r="F112" s="669">
        <f t="shared" si="18"/>
        <v>0</v>
      </c>
      <c r="H112" s="458" t="s">
        <v>572</v>
      </c>
      <c r="I112" s="1089">
        <f t="shared" si="19"/>
        <v>1497.7609651230746</v>
      </c>
      <c r="J112" s="1090">
        <f t="shared" si="19"/>
        <v>-0.11909635195672746</v>
      </c>
      <c r="K112" s="1091">
        <f>K75/(1-$E$15)</f>
        <v>0.59415311013146754</v>
      </c>
      <c r="L112" s="724">
        <f>K112/$K$107</f>
        <v>0.88090364804327248</v>
      </c>
      <c r="M112" s="1070">
        <f>$L$70*L112</f>
        <v>0.88090364804327248</v>
      </c>
      <c r="N112" s="1069">
        <f>1-$L$70</f>
        <v>0</v>
      </c>
      <c r="O112" s="1071">
        <f>(SUM(M112:N112)-1)/1</f>
        <v>-0.11909635195672752</v>
      </c>
      <c r="P112" s="8" t="b">
        <f>ROUND(J112,8) = ROUND(O112,8)</f>
        <v>1</v>
      </c>
      <c r="Q112" s="620"/>
    </row>
    <row r="113" spans="3:17" x14ac:dyDescent="0.25">
      <c r="C113" s="1031">
        <v>14.5</v>
      </c>
      <c r="D113" s="931">
        <f t="shared" si="16"/>
        <v>0</v>
      </c>
      <c r="E113" s="667">
        <f t="shared" si="17"/>
        <v>0.54166666666666663</v>
      </c>
      <c r="F113" s="1096">
        <f t="shared" si="18"/>
        <v>0</v>
      </c>
      <c r="H113" s="458" t="s">
        <v>574</v>
      </c>
      <c r="I113" s="1089">
        <f t="shared" si="19"/>
        <v>1290.0174714479231</v>
      </c>
      <c r="J113" s="1090">
        <f t="shared" si="19"/>
        <v>-0.24128006864923573</v>
      </c>
      <c r="K113" s="1091">
        <f>K76/(1-$E$15)</f>
        <v>0.5117424680123992</v>
      </c>
      <c r="L113" s="724">
        <f>K113/$K$107</f>
        <v>0.75871993135076421</v>
      </c>
      <c r="M113" s="1070">
        <f>$L$70*L113</f>
        <v>0.75871993135076421</v>
      </c>
      <c r="N113" s="1069">
        <f>1-$L$70</f>
        <v>0</v>
      </c>
      <c r="O113" s="1071">
        <f>(SUM(M113:N113)-1)/1</f>
        <v>-0.24128006864923579</v>
      </c>
      <c r="P113" s="8" t="b">
        <f>ROUND(J113,8) = ROUND(O113,8)</f>
        <v>1</v>
      </c>
      <c r="Q113" s="8"/>
    </row>
    <row r="114" spans="3:17" x14ac:dyDescent="0.25">
      <c r="C114" s="1031">
        <v>15</v>
      </c>
      <c r="D114" s="931">
        <f t="shared" si="16"/>
        <v>0.5</v>
      </c>
      <c r="E114" s="667">
        <f t="shared" si="17"/>
        <v>0.58333333333333337</v>
      </c>
      <c r="F114" s="1097">
        <f t="shared" si="18"/>
        <v>9.0909090909091064E-2</v>
      </c>
      <c r="H114" s="458" t="s">
        <v>575</v>
      </c>
      <c r="I114" s="1089">
        <f t="shared" si="19"/>
        <v>1527.5900000000004</v>
      </c>
      <c r="J114" s="1090">
        <f t="shared" si="19"/>
        <v>-0.10155249398968882</v>
      </c>
      <c r="K114" s="1091">
        <f>K77/(1-$E$15)</f>
        <v>0.6059861157024794</v>
      </c>
      <c r="L114" s="724">
        <f>K114/$K$107</f>
        <v>0.89844750601031109</v>
      </c>
      <c r="M114" s="1070">
        <f>$L$70*L114</f>
        <v>0.89844750601031109</v>
      </c>
      <c r="N114" s="1069">
        <f>1-$L$70</f>
        <v>0</v>
      </c>
      <c r="O114" s="1071">
        <f>(SUM(M114:N114)-1)/1</f>
        <v>-0.10155249398968891</v>
      </c>
      <c r="P114" s="8" t="b">
        <f>ROUND(J114,8) = ROUND(O114,8)</f>
        <v>1</v>
      </c>
      <c r="Q114" s="8"/>
    </row>
    <row r="115" spans="3:17" x14ac:dyDescent="0.25">
      <c r="C115" s="1031">
        <v>15.5</v>
      </c>
      <c r="D115" s="931">
        <f t="shared" si="16"/>
        <v>1</v>
      </c>
      <c r="E115" s="667">
        <f t="shared" si="17"/>
        <v>0.625</v>
      </c>
      <c r="F115" s="1087">
        <f t="shared" si="18"/>
        <v>0.18181818181818188</v>
      </c>
      <c r="H115" s="1080"/>
      <c r="I115" s="7"/>
      <c r="J115" s="1081"/>
      <c r="K115" s="17"/>
      <c r="L115" s="8"/>
      <c r="M115" s="8"/>
      <c r="N115" s="8"/>
      <c r="O115" s="8"/>
      <c r="P115" s="8"/>
      <c r="Q115" s="8"/>
    </row>
    <row r="116" spans="3:17" x14ac:dyDescent="0.25">
      <c r="C116" s="1031">
        <v>16</v>
      </c>
      <c r="D116" s="931">
        <f t="shared" si="16"/>
        <v>1.5</v>
      </c>
      <c r="E116" s="667">
        <f t="shared" si="17"/>
        <v>0.66666666666666663</v>
      </c>
      <c r="F116" s="1087">
        <f t="shared" si="18"/>
        <v>0.27272727272727271</v>
      </c>
      <c r="H116" s="1080"/>
      <c r="I116" s="7"/>
      <c r="J116" s="1081"/>
      <c r="K116" s="17"/>
    </row>
    <row r="117" spans="3:17" x14ac:dyDescent="0.25">
      <c r="C117" s="1031">
        <v>16.5</v>
      </c>
      <c r="D117" s="931">
        <f t="shared" si="16"/>
        <v>2</v>
      </c>
      <c r="E117" s="667">
        <f t="shared" si="17"/>
        <v>0.70833333333333337</v>
      </c>
      <c r="F117" s="1087">
        <f t="shared" si="18"/>
        <v>0.36363636363636376</v>
      </c>
      <c r="H117" s="1085"/>
      <c r="I117" s="7"/>
      <c r="J117" s="1081"/>
      <c r="K117" s="17"/>
    </row>
    <row r="118" spans="3:17" x14ac:dyDescent="0.25">
      <c r="C118" s="1031">
        <v>17</v>
      </c>
      <c r="D118" s="931">
        <f t="shared" si="16"/>
        <v>2.5</v>
      </c>
      <c r="E118" s="667">
        <f t="shared" si="17"/>
        <v>0.75</v>
      </c>
      <c r="F118" s="1087">
        <f t="shared" si="18"/>
        <v>0.45454545454545459</v>
      </c>
      <c r="H118" s="1080"/>
      <c r="I118" s="7"/>
      <c r="J118" s="1081"/>
      <c r="K118" s="17"/>
    </row>
    <row r="119" spans="3:17" x14ac:dyDescent="0.25">
      <c r="C119" s="1031">
        <v>17.5</v>
      </c>
      <c r="D119" s="931">
        <f t="shared" si="16"/>
        <v>3</v>
      </c>
      <c r="E119" s="667">
        <f t="shared" si="17"/>
        <v>0.79166666666666663</v>
      </c>
      <c r="F119" s="1087">
        <f t="shared" si="18"/>
        <v>0.54545454545454541</v>
      </c>
      <c r="H119" s="1080"/>
      <c r="I119" s="7"/>
      <c r="J119" s="1081"/>
      <c r="K119" s="253"/>
    </row>
    <row r="120" spans="3:17" x14ac:dyDescent="0.25">
      <c r="C120" s="1031">
        <v>18</v>
      </c>
      <c r="D120" s="931">
        <f t="shared" si="16"/>
        <v>3.5</v>
      </c>
      <c r="E120" s="667">
        <f t="shared" si="17"/>
        <v>0.83333333333333337</v>
      </c>
      <c r="F120" s="1087">
        <f t="shared" si="18"/>
        <v>0.63636363636363646</v>
      </c>
    </row>
    <row r="121" spans="3:17" x14ac:dyDescent="0.25">
      <c r="C121" s="1031">
        <v>18.5</v>
      </c>
      <c r="D121" s="931">
        <f t="shared" si="16"/>
        <v>4</v>
      </c>
      <c r="E121" s="667">
        <f t="shared" si="17"/>
        <v>0.875</v>
      </c>
      <c r="F121" s="1087">
        <f t="shared" si="18"/>
        <v>0.72727272727272729</v>
      </c>
    </row>
    <row r="122" spans="3:17" x14ac:dyDescent="0.25">
      <c r="C122" s="1031">
        <v>19</v>
      </c>
      <c r="D122" s="931">
        <f t="shared" si="16"/>
        <v>4.5</v>
      </c>
      <c r="E122" s="667">
        <f t="shared" si="17"/>
        <v>0.91666666666666663</v>
      </c>
      <c r="F122" s="1087">
        <f t="shared" si="18"/>
        <v>0.81818181818181812</v>
      </c>
    </row>
    <row r="123" spans="3:17" x14ac:dyDescent="0.25">
      <c r="C123" s="1031">
        <v>19.5</v>
      </c>
      <c r="D123" s="931">
        <f t="shared" si="16"/>
        <v>5</v>
      </c>
      <c r="E123" s="667">
        <f t="shared" si="17"/>
        <v>0.95833333333333337</v>
      </c>
      <c r="F123" s="1086">
        <f t="shared" si="18"/>
        <v>0.90909090909090917</v>
      </c>
    </row>
    <row r="124" spans="3:17" x14ac:dyDescent="0.25">
      <c r="C124" s="1029">
        <v>20</v>
      </c>
      <c r="D124" s="1078">
        <f t="shared" si="16"/>
        <v>5.5</v>
      </c>
      <c r="E124" s="1079">
        <f t="shared" si="17"/>
        <v>1</v>
      </c>
      <c r="F124" s="1088">
        <f t="shared" si="18"/>
        <v>1</v>
      </c>
    </row>
    <row r="128" spans="3:17" ht="33.75" x14ac:dyDescent="0.5">
      <c r="C128" s="1063" t="s">
        <v>523</v>
      </c>
    </row>
    <row r="130" spans="3:3" x14ac:dyDescent="0.25">
      <c r="C130" s="33" t="s">
        <v>610</v>
      </c>
    </row>
    <row r="131" spans="3:3" x14ac:dyDescent="0.25">
      <c r="C131" s="1098" t="s">
        <v>611</v>
      </c>
    </row>
    <row r="133" spans="3:3" x14ac:dyDescent="0.25">
      <c r="C133" s="33" t="s">
        <v>612</v>
      </c>
    </row>
    <row r="134" spans="3:3" x14ac:dyDescent="0.25">
      <c r="C134" s="33" t="s">
        <v>613</v>
      </c>
    </row>
    <row r="135" spans="3:3" x14ac:dyDescent="0.25">
      <c r="C135" s="33" t="s">
        <v>614</v>
      </c>
    </row>
    <row r="137" spans="3:3" x14ac:dyDescent="0.25">
      <c r="C137" s="33" t="s">
        <v>615</v>
      </c>
    </row>
  </sheetData>
  <mergeCells count="15">
    <mergeCell ref="M24:M27"/>
    <mergeCell ref="C66:D66"/>
    <mergeCell ref="C56:D56"/>
    <mergeCell ref="E56:I56"/>
    <mergeCell ref="E66:F66"/>
    <mergeCell ref="C98:D98"/>
    <mergeCell ref="E98:F98"/>
    <mergeCell ref="B5:B11"/>
    <mergeCell ref="B13:B21"/>
    <mergeCell ref="C24:C27"/>
    <mergeCell ref="I109:J109"/>
    <mergeCell ref="K109:O109"/>
    <mergeCell ref="H102:J102"/>
    <mergeCell ref="I72:J72"/>
    <mergeCell ref="K72:O72"/>
  </mergeCells>
  <hyperlinks>
    <hyperlink ref="D9" r:id="rId1" xr:uid="{00000000-0004-0000-0800-000000000000}"/>
    <hyperlink ref="D10" r:id="rId2" xr:uid="{00000000-0004-0000-0800-000001000000}"/>
    <hyperlink ref="D11" r:id="rId3" xr:uid="{00000000-0004-0000-0800-000002000000}"/>
    <hyperlink ref="D19" r:id="rId4" xr:uid="{00000000-0004-0000-0800-000003000000}"/>
    <hyperlink ref="D20" r:id="rId5" xr:uid="{00000000-0004-0000-0800-000004000000}"/>
    <hyperlink ref="D21" r:id="rId6" xr:uid="{00000000-0004-0000-0800-000005000000}"/>
  </hyperlinks>
  <pageMargins left="0.7" right="0.7" top="0.75" bottom="0.75" header="0.3" footer="0.3"/>
  <pageSetup orientation="portrait" r:id="rId7"/>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B2:R73"/>
  <sheetViews>
    <sheetView workbookViewId="0">
      <selection activeCell="M29" sqref="M29"/>
    </sheetView>
  </sheetViews>
  <sheetFormatPr defaultRowHeight="15" x14ac:dyDescent="0.25"/>
  <sheetData>
    <row r="2" spans="2:15" ht="15.75" thickBot="1" x14ac:dyDescent="0.3">
      <c r="B2" t="s">
        <v>58</v>
      </c>
    </row>
    <row r="3" spans="2:15" ht="15.75" thickBot="1" x14ac:dyDescent="0.3">
      <c r="F3" s="94" t="s">
        <v>5</v>
      </c>
      <c r="G3" s="95">
        <v>5</v>
      </c>
    </row>
    <row r="5" spans="2:15" x14ac:dyDescent="0.25">
      <c r="B5" t="s">
        <v>45</v>
      </c>
      <c r="C5" t="s">
        <v>46</v>
      </c>
      <c r="D5" t="s">
        <v>47</v>
      </c>
      <c r="E5" t="s">
        <v>48</v>
      </c>
      <c r="F5" t="s">
        <v>49</v>
      </c>
      <c r="H5" t="s">
        <v>50</v>
      </c>
      <c r="I5" t="s">
        <v>51</v>
      </c>
      <c r="J5" t="s">
        <v>52</v>
      </c>
      <c r="K5" t="s">
        <v>53</v>
      </c>
      <c r="M5" t="s">
        <v>36</v>
      </c>
      <c r="N5" t="s">
        <v>1</v>
      </c>
    </row>
    <row r="6" spans="2:15" x14ac:dyDescent="0.25">
      <c r="B6">
        <v>1</v>
      </c>
      <c r="C6">
        <v>0</v>
      </c>
      <c r="D6">
        <v>0</v>
      </c>
      <c r="E6">
        <v>0</v>
      </c>
      <c r="F6">
        <v>0</v>
      </c>
      <c r="H6">
        <f>EXP(C6/$G$3)/SUM(EXP($C6/$G$3),EXP($D6/$G$3),EXP($E6/$G$3),EXP($F6/$G$3))</f>
        <v>0.25</v>
      </c>
      <c r="I6">
        <f t="shared" ref="I6:K14" si="0">EXP(D6/$G$3)/SUM(EXP($C6/$G$3),EXP($D6/$G$3),EXP($E6/$G$3),EXP($F6/$G$3))</f>
        <v>0.25</v>
      </c>
      <c r="J6">
        <f t="shared" si="0"/>
        <v>0.25</v>
      </c>
      <c r="K6">
        <f t="shared" si="0"/>
        <v>0.25</v>
      </c>
      <c r="M6">
        <f>LN(SUM(EXP(C6/$G$3),EXP(D6/$G$3),EXP(E6/$G$3),EXP(F6/$G$3)))</f>
        <v>1.3862943611198906</v>
      </c>
      <c r="N6">
        <f>IFERROR(M6-M5,M6)</f>
        <v>1.3862943611198906</v>
      </c>
    </row>
    <row r="7" spans="2:15" x14ac:dyDescent="0.25">
      <c r="B7">
        <v>2</v>
      </c>
      <c r="C7">
        <v>1</v>
      </c>
      <c r="D7">
        <v>0</v>
      </c>
      <c r="E7">
        <v>0</v>
      </c>
      <c r="F7">
        <v>0</v>
      </c>
      <c r="H7">
        <f t="shared" ref="H7:H14" si="1">EXP(C7/$G$3)/SUM(EXP($C7/$G$3),EXP($D7/$G$3),EXP($E7/$G$3),EXP($F7/$G$3))</f>
        <v>0.28933575594016492</v>
      </c>
      <c r="I7">
        <f t="shared" si="0"/>
        <v>0.23688808135327838</v>
      </c>
      <c r="J7">
        <f t="shared" si="0"/>
        <v>0.23688808135327838</v>
      </c>
      <c r="K7">
        <f t="shared" si="0"/>
        <v>0.23688808135327838</v>
      </c>
      <c r="M7">
        <f t="shared" ref="M7:M14" si="2">LN(SUM(EXP(C7/$G$3),EXP(D7/$G$3),EXP(E7/$G$3),EXP(F7/$G$3)))</f>
        <v>1.4401674799598645</v>
      </c>
      <c r="N7" s="96">
        <f t="shared" ref="N7:N14" si="3">IFERROR(M7-M6,M7)</f>
        <v>5.3873118839973921E-2</v>
      </c>
    </row>
    <row r="8" spans="2:15" x14ac:dyDescent="0.25">
      <c r="B8">
        <v>3</v>
      </c>
      <c r="C8">
        <v>2</v>
      </c>
      <c r="D8">
        <v>3</v>
      </c>
      <c r="E8">
        <v>0</v>
      </c>
      <c r="F8">
        <v>0</v>
      </c>
      <c r="H8">
        <f t="shared" si="1"/>
        <v>0.28073777942761796</v>
      </c>
      <c r="I8">
        <f t="shared" si="0"/>
        <v>0.34289389811265397</v>
      </c>
      <c r="J8">
        <f t="shared" si="0"/>
        <v>0.18818416122986403</v>
      </c>
      <c r="K8">
        <f t="shared" si="0"/>
        <v>0.18818416122986403</v>
      </c>
      <c r="M8">
        <f t="shared" si="2"/>
        <v>1.6703342146186519</v>
      </c>
      <c r="N8" s="96">
        <f t="shared" si="3"/>
        <v>0.23016673465878745</v>
      </c>
    </row>
    <row r="9" spans="2:15" x14ac:dyDescent="0.25">
      <c r="B9">
        <v>4</v>
      </c>
      <c r="C9">
        <v>8</v>
      </c>
      <c r="D9">
        <v>9</v>
      </c>
      <c r="E9">
        <v>11</v>
      </c>
      <c r="F9">
        <v>0</v>
      </c>
      <c r="H9">
        <f t="shared" si="1"/>
        <v>0.23554806192697511</v>
      </c>
      <c r="I9">
        <f t="shared" si="0"/>
        <v>0.28769905251688987</v>
      </c>
      <c r="J9">
        <f t="shared" si="0"/>
        <v>0.42919655203268925</v>
      </c>
      <c r="K9">
        <f t="shared" si="0"/>
        <v>4.755633352344573E-2</v>
      </c>
      <c r="M9">
        <f t="shared" si="2"/>
        <v>3.0458403017324911</v>
      </c>
      <c r="N9" s="96">
        <f t="shared" si="3"/>
        <v>1.3755060871138391</v>
      </c>
    </row>
    <row r="10" spans="2:15" x14ac:dyDescent="0.25">
      <c r="B10">
        <v>5</v>
      </c>
      <c r="C10">
        <v>21</v>
      </c>
      <c r="D10">
        <v>25</v>
      </c>
      <c r="E10">
        <v>27</v>
      </c>
      <c r="F10">
        <v>17</v>
      </c>
      <c r="H10">
        <f t="shared" si="1"/>
        <v>0.14295952607174461</v>
      </c>
      <c r="I10">
        <f t="shared" si="0"/>
        <v>0.31816227639055356</v>
      </c>
      <c r="J10">
        <f t="shared" si="0"/>
        <v>0.47464234177719605</v>
      </c>
      <c r="K10">
        <f t="shared" si="0"/>
        <v>6.4235855760505917E-2</v>
      </c>
      <c r="M10">
        <f t="shared" si="2"/>
        <v>6.1451937232473677</v>
      </c>
      <c r="N10" s="96">
        <f t="shared" si="3"/>
        <v>3.0993534215148766</v>
      </c>
      <c r="O10">
        <f>SUM(N7:N10)</f>
        <v>4.7588993621274769</v>
      </c>
    </row>
    <row r="11" spans="2:15" x14ac:dyDescent="0.25">
      <c r="B11">
        <v>6</v>
      </c>
      <c r="C11">
        <v>31</v>
      </c>
      <c r="D11">
        <v>36</v>
      </c>
      <c r="E11">
        <v>42</v>
      </c>
      <c r="F11">
        <v>57</v>
      </c>
      <c r="H11">
        <f t="shared" si="1"/>
        <v>5.1542263800937928E-3</v>
      </c>
      <c r="I11">
        <f t="shared" si="0"/>
        <v>1.4010639908773201E-2</v>
      </c>
      <c r="J11">
        <f t="shared" si="0"/>
        <v>4.6516962659485954E-2</v>
      </c>
      <c r="K11">
        <f t="shared" si="0"/>
        <v>0.93431817105164705</v>
      </c>
      <c r="M11">
        <f t="shared" si="2"/>
        <v>11.467938244531888</v>
      </c>
      <c r="N11" s="97">
        <f t="shared" si="3"/>
        <v>5.3227445212845206</v>
      </c>
    </row>
    <row r="12" spans="2:15" x14ac:dyDescent="0.25">
      <c r="B12">
        <v>7</v>
      </c>
      <c r="C12">
        <v>42</v>
      </c>
      <c r="D12">
        <v>53</v>
      </c>
      <c r="E12">
        <v>55</v>
      </c>
      <c r="F12">
        <v>40</v>
      </c>
      <c r="H12">
        <f t="shared" si="1"/>
        <v>4.1392319099229483E-2</v>
      </c>
      <c r="I12">
        <f t="shared" si="0"/>
        <v>0.37356623864343058</v>
      </c>
      <c r="J12">
        <f t="shared" si="0"/>
        <v>0.55729534101322264</v>
      </c>
      <c r="K12">
        <f t="shared" si="0"/>
        <v>2.7746101244117367E-2</v>
      </c>
      <c r="M12">
        <f t="shared" si="2"/>
        <v>11.584659944367623</v>
      </c>
      <c r="N12" s="97">
        <f>IFERROR(M12-M11,M12)</f>
        <v>0.11672169983573433</v>
      </c>
    </row>
    <row r="13" spans="2:15" x14ac:dyDescent="0.25">
      <c r="B13">
        <v>8</v>
      </c>
      <c r="C13">
        <v>50</v>
      </c>
      <c r="D13">
        <v>80</v>
      </c>
      <c r="E13">
        <v>70</v>
      </c>
      <c r="F13">
        <v>42</v>
      </c>
      <c r="H13">
        <f t="shared" si="1"/>
        <v>2.1775635866085013E-3</v>
      </c>
      <c r="I13">
        <f t="shared" si="0"/>
        <v>0.87849185049918066</v>
      </c>
      <c r="J13">
        <f t="shared" si="0"/>
        <v>0.11889094340836263</v>
      </c>
      <c r="K13">
        <f t="shared" si="0"/>
        <v>4.3964250584820985E-4</v>
      </c>
      <c r="M13">
        <f t="shared" si="2"/>
        <v>16.1295486480068</v>
      </c>
      <c r="N13" s="97">
        <f t="shared" si="3"/>
        <v>4.5448887036391774</v>
      </c>
    </row>
    <row r="14" spans="2:15" x14ac:dyDescent="0.25">
      <c r="B14">
        <v>9</v>
      </c>
      <c r="C14">
        <v>30</v>
      </c>
      <c r="D14">
        <v>40</v>
      </c>
      <c r="E14">
        <v>113</v>
      </c>
      <c r="F14">
        <v>47</v>
      </c>
      <c r="H14">
        <f t="shared" si="1"/>
        <v>6.1760467062892996E-8</v>
      </c>
      <c r="I14">
        <f t="shared" si="0"/>
        <v>4.5635155582387502E-7</v>
      </c>
      <c r="J14">
        <f t="shared" si="0"/>
        <v>0.99999763129116293</v>
      </c>
      <c r="K14">
        <f t="shared" si="0"/>
        <v>1.8505968140464941E-6</v>
      </c>
      <c r="M14">
        <f t="shared" si="2"/>
        <v>22.600002368711642</v>
      </c>
      <c r="N14" s="97">
        <f t="shared" si="3"/>
        <v>6.4704537207048425</v>
      </c>
      <c r="O14">
        <f>SUM(N11:N14)</f>
        <v>16.454808645464276</v>
      </c>
    </row>
    <row r="17" spans="2:15" x14ac:dyDescent="0.25">
      <c r="B17" t="s">
        <v>45</v>
      </c>
      <c r="C17" t="s">
        <v>46</v>
      </c>
      <c r="D17" t="s">
        <v>47</v>
      </c>
      <c r="E17" t="s">
        <v>48</v>
      </c>
      <c r="F17" t="s">
        <v>49</v>
      </c>
      <c r="H17" t="s">
        <v>50</v>
      </c>
      <c r="I17" t="s">
        <v>51</v>
      </c>
      <c r="J17" t="s">
        <v>52</v>
      </c>
      <c r="K17" t="s">
        <v>53</v>
      </c>
      <c r="M17" t="s">
        <v>36</v>
      </c>
      <c r="N17" t="s">
        <v>1</v>
      </c>
    </row>
    <row r="18" spans="2:15" ht="15.75" thickBot="1" x14ac:dyDescent="0.3">
      <c r="B18">
        <v>1</v>
      </c>
      <c r="C18">
        <v>0</v>
      </c>
      <c r="D18">
        <v>0</v>
      </c>
      <c r="E18">
        <v>0</v>
      </c>
      <c r="F18">
        <v>0</v>
      </c>
      <c r="H18">
        <f>EXP(C18/$G$3)/SUM(EXP($C18/$G$3),EXP($D18/$G$3),EXP($E18/$G$3),EXP($F18/$G$3))</f>
        <v>0.25</v>
      </c>
      <c r="I18">
        <f t="shared" ref="I18:K26" si="4">EXP(D18/$G$3)/SUM(EXP($C18/$G$3),EXP($D18/$G$3),EXP($E18/$G$3),EXP($F18/$G$3))</f>
        <v>0.25</v>
      </c>
      <c r="J18">
        <f t="shared" si="4"/>
        <v>0.25</v>
      </c>
      <c r="K18">
        <f t="shared" si="4"/>
        <v>0.25</v>
      </c>
      <c r="M18">
        <f>LN(SUM(EXP(C18/$G$3),EXP(D18/$G$3),EXP(E18/$G$3),EXP(F18/$G$3)))</f>
        <v>1.3862943611198906</v>
      </c>
      <c r="N18">
        <f>IFERROR(M18-M17,M18)</f>
        <v>1.3862943611198906</v>
      </c>
    </row>
    <row r="19" spans="2:15" x14ac:dyDescent="0.25">
      <c r="B19">
        <v>2</v>
      </c>
      <c r="C19">
        <v>0</v>
      </c>
      <c r="D19">
        <v>0</v>
      </c>
      <c r="E19">
        <v>0</v>
      </c>
      <c r="F19">
        <v>0</v>
      </c>
      <c r="H19">
        <f t="shared" ref="H19:H26" si="5">EXP(C19/$G$3)/SUM(EXP($C19/$G$3),EXP($D19/$G$3),EXP($E19/$G$3),EXP($F19/$G$3))</f>
        <v>0.25</v>
      </c>
      <c r="I19">
        <f t="shared" si="4"/>
        <v>0.25</v>
      </c>
      <c r="J19">
        <f t="shared" si="4"/>
        <v>0.25</v>
      </c>
      <c r="K19">
        <f t="shared" si="4"/>
        <v>0.25</v>
      </c>
      <c r="M19">
        <f t="shared" ref="M19:M26" si="6">LN(SUM(EXP(C19/$G$3),EXP(D19/$G$3),EXP(E19/$G$3),EXP(F19/$G$3)))</f>
        <v>1.3862943611198906</v>
      </c>
      <c r="N19" s="98">
        <f t="shared" ref="N19:N26" si="7">IFERROR(M19-M18,M19)</f>
        <v>0</v>
      </c>
      <c r="O19" s="11"/>
    </row>
    <row r="20" spans="2:15" x14ac:dyDescent="0.25">
      <c r="B20">
        <v>3</v>
      </c>
      <c r="C20">
        <v>0</v>
      </c>
      <c r="D20">
        <v>0</v>
      </c>
      <c r="E20">
        <v>0</v>
      </c>
      <c r="F20">
        <v>0</v>
      </c>
      <c r="H20">
        <f t="shared" si="5"/>
        <v>0.25</v>
      </c>
      <c r="I20">
        <f t="shared" si="4"/>
        <v>0.25</v>
      </c>
      <c r="J20">
        <f t="shared" si="4"/>
        <v>0.25</v>
      </c>
      <c r="K20">
        <f t="shared" si="4"/>
        <v>0.25</v>
      </c>
      <c r="M20">
        <f t="shared" si="6"/>
        <v>1.3862943611198906</v>
      </c>
      <c r="N20" s="99">
        <f t="shared" si="7"/>
        <v>0</v>
      </c>
      <c r="O20" s="100"/>
    </row>
    <row r="21" spans="2:15" x14ac:dyDescent="0.25">
      <c r="B21">
        <v>4</v>
      </c>
      <c r="C21">
        <v>0</v>
      </c>
      <c r="D21">
        <v>0</v>
      </c>
      <c r="E21">
        <v>0</v>
      </c>
      <c r="F21">
        <v>0</v>
      </c>
      <c r="H21">
        <f t="shared" si="5"/>
        <v>0.25</v>
      </c>
      <c r="I21">
        <f t="shared" si="4"/>
        <v>0.25</v>
      </c>
      <c r="J21">
        <f t="shared" si="4"/>
        <v>0.25</v>
      </c>
      <c r="K21">
        <f t="shared" si="4"/>
        <v>0.25</v>
      </c>
      <c r="M21">
        <f t="shared" si="6"/>
        <v>1.3862943611198906</v>
      </c>
      <c r="N21" s="99">
        <f>IFERROR(M21-M20,M21)</f>
        <v>0</v>
      </c>
      <c r="O21" s="100"/>
    </row>
    <row r="22" spans="2:15" ht="15.75" thickBot="1" x14ac:dyDescent="0.3">
      <c r="B22">
        <v>5</v>
      </c>
      <c r="C22">
        <v>21</v>
      </c>
      <c r="D22">
        <v>25</v>
      </c>
      <c r="E22">
        <v>27</v>
      </c>
      <c r="F22">
        <v>17</v>
      </c>
      <c r="H22">
        <f t="shared" si="5"/>
        <v>0.14295952607174461</v>
      </c>
      <c r="I22">
        <f t="shared" si="4"/>
        <v>0.31816227639055356</v>
      </c>
      <c r="J22">
        <f t="shared" si="4"/>
        <v>0.47464234177719605</v>
      </c>
      <c r="K22">
        <f t="shared" si="4"/>
        <v>6.4235855760505917E-2</v>
      </c>
      <c r="M22">
        <f t="shared" si="6"/>
        <v>6.1451937232473677</v>
      </c>
      <c r="N22" s="101">
        <f>IFERROR(M22-M21,M22)</f>
        <v>4.7588993621274769</v>
      </c>
      <c r="O22" s="102">
        <f>SUM(N19:N22)</f>
        <v>4.7588993621274769</v>
      </c>
    </row>
    <row r="23" spans="2:15" x14ac:dyDescent="0.25">
      <c r="B23">
        <v>6</v>
      </c>
      <c r="C23">
        <v>0</v>
      </c>
      <c r="D23">
        <v>0</v>
      </c>
      <c r="E23">
        <v>0</v>
      </c>
      <c r="F23">
        <v>0</v>
      </c>
      <c r="H23">
        <f t="shared" si="5"/>
        <v>0.25</v>
      </c>
      <c r="I23">
        <f t="shared" si="4"/>
        <v>0.25</v>
      </c>
      <c r="J23">
        <f t="shared" si="4"/>
        <v>0.25</v>
      </c>
      <c r="K23">
        <f t="shared" si="4"/>
        <v>0.25</v>
      </c>
      <c r="M23">
        <f t="shared" si="6"/>
        <v>1.3862943611198906</v>
      </c>
      <c r="N23" s="103">
        <f t="shared" si="7"/>
        <v>-4.7588993621274769</v>
      </c>
      <c r="O23" s="11"/>
    </row>
    <row r="24" spans="2:15" x14ac:dyDescent="0.25">
      <c r="B24">
        <v>7</v>
      </c>
      <c r="C24">
        <v>0</v>
      </c>
      <c r="D24">
        <v>0</v>
      </c>
      <c r="E24">
        <v>0</v>
      </c>
      <c r="F24">
        <v>0</v>
      </c>
      <c r="H24">
        <f t="shared" si="5"/>
        <v>0.25</v>
      </c>
      <c r="I24">
        <f t="shared" si="4"/>
        <v>0.25</v>
      </c>
      <c r="J24">
        <f t="shared" si="4"/>
        <v>0.25</v>
      </c>
      <c r="K24">
        <f t="shared" si="4"/>
        <v>0.25</v>
      </c>
      <c r="M24">
        <f t="shared" si="6"/>
        <v>1.3862943611198906</v>
      </c>
      <c r="N24" s="104">
        <f>IFERROR(M24-M23,M24)</f>
        <v>0</v>
      </c>
      <c r="O24" s="100"/>
    </row>
    <row r="25" spans="2:15" x14ac:dyDescent="0.25">
      <c r="B25">
        <v>8</v>
      </c>
      <c r="C25">
        <v>0</v>
      </c>
      <c r="D25">
        <v>0</v>
      </c>
      <c r="E25">
        <v>0</v>
      </c>
      <c r="F25">
        <v>0</v>
      </c>
      <c r="H25">
        <f t="shared" si="5"/>
        <v>0.25</v>
      </c>
      <c r="I25">
        <f t="shared" si="4"/>
        <v>0.25</v>
      </c>
      <c r="J25">
        <f t="shared" si="4"/>
        <v>0.25</v>
      </c>
      <c r="K25">
        <f t="shared" si="4"/>
        <v>0.25</v>
      </c>
      <c r="M25">
        <f t="shared" si="6"/>
        <v>1.3862943611198906</v>
      </c>
      <c r="N25" s="104">
        <f t="shared" si="7"/>
        <v>0</v>
      </c>
      <c r="O25" s="100"/>
    </row>
    <row r="26" spans="2:15" ht="15.75" thickBot="1" x14ac:dyDescent="0.3">
      <c r="B26">
        <v>9</v>
      </c>
      <c r="C26">
        <v>30</v>
      </c>
      <c r="D26">
        <v>40</v>
      </c>
      <c r="E26">
        <v>113</v>
      </c>
      <c r="F26">
        <v>47</v>
      </c>
      <c r="H26">
        <f t="shared" si="5"/>
        <v>6.1760467062892996E-8</v>
      </c>
      <c r="I26">
        <f t="shared" si="4"/>
        <v>4.5635155582387502E-7</v>
      </c>
      <c r="J26">
        <f t="shared" si="4"/>
        <v>0.99999763129116293</v>
      </c>
      <c r="K26">
        <f t="shared" si="4"/>
        <v>1.8505968140464941E-6</v>
      </c>
      <c r="M26">
        <f t="shared" si="6"/>
        <v>22.600002368711642</v>
      </c>
      <c r="N26" s="105">
        <f t="shared" si="7"/>
        <v>21.213708007591752</v>
      </c>
      <c r="O26" s="102">
        <f>SUM(N23:N26)</f>
        <v>16.454808645464276</v>
      </c>
    </row>
    <row r="29" spans="2:15" ht="15.75" thickBot="1" x14ac:dyDescent="0.3"/>
    <row r="30" spans="2:15" ht="15.75" thickBot="1" x14ac:dyDescent="0.3">
      <c r="F30" s="94" t="s">
        <v>5</v>
      </c>
      <c r="G30" s="95">
        <v>5</v>
      </c>
    </row>
    <row r="32" spans="2:15" x14ac:dyDescent="0.25">
      <c r="B32" t="s">
        <v>45</v>
      </c>
      <c r="C32" t="s">
        <v>46</v>
      </c>
      <c r="D32" t="s">
        <v>47</v>
      </c>
      <c r="E32" t="s">
        <v>48</v>
      </c>
      <c r="F32" t="s">
        <v>49</v>
      </c>
      <c r="H32" t="s">
        <v>50</v>
      </c>
      <c r="I32" t="s">
        <v>51</v>
      </c>
      <c r="J32" t="s">
        <v>52</v>
      </c>
      <c r="K32" t="s">
        <v>53</v>
      </c>
      <c r="M32" t="s">
        <v>36</v>
      </c>
      <c r="N32" t="s">
        <v>1</v>
      </c>
    </row>
    <row r="33" spans="2:18" x14ac:dyDescent="0.25">
      <c r="B33">
        <v>1</v>
      </c>
      <c r="C33">
        <v>0</v>
      </c>
      <c r="D33">
        <v>0</v>
      </c>
      <c r="E33">
        <v>0</v>
      </c>
      <c r="F33">
        <v>0</v>
      </c>
      <c r="H33">
        <f t="shared" ref="H33:H49" si="8">EXP(C33/$G$3)/SUM(EXP($C33/$G$3),EXP($D33/$G$3),EXP($E33/$G$3),EXP($F33/$G$3))</f>
        <v>0.25</v>
      </c>
      <c r="I33">
        <f t="shared" ref="I33:K48" si="9">EXP(D33/$G$3)/SUM(EXP($C33/$G$3),EXP($D33/$G$3),EXP($E33/$G$3),EXP($F33/$G$3))</f>
        <v>0.25</v>
      </c>
      <c r="J33">
        <f t="shared" si="9"/>
        <v>0.25</v>
      </c>
      <c r="K33">
        <f t="shared" si="9"/>
        <v>0.25</v>
      </c>
      <c r="M33">
        <f>LN(SUM(EXP(C33/$G$3),EXP(D33/$G$3),EXP(E33/$G$3),EXP(F33/$G$3)))</f>
        <v>1.3862943611198906</v>
      </c>
      <c r="N33">
        <f>$G$30*IFERROR(M33-M32,M33)</f>
        <v>6.9314718055994531</v>
      </c>
      <c r="Q33">
        <f>SUM($N$33:N33)</f>
        <v>6.9314718055994531</v>
      </c>
    </row>
    <row r="34" spans="2:18" x14ac:dyDescent="0.25">
      <c r="B34">
        <v>2</v>
      </c>
      <c r="C34">
        <v>1</v>
      </c>
      <c r="D34">
        <v>0</v>
      </c>
      <c r="E34">
        <v>0</v>
      </c>
      <c r="F34">
        <v>0</v>
      </c>
      <c r="H34">
        <f t="shared" si="8"/>
        <v>0.28933575594016492</v>
      </c>
      <c r="I34">
        <f t="shared" si="9"/>
        <v>0.23688808135327838</v>
      </c>
      <c r="J34">
        <f t="shared" si="9"/>
        <v>0.23688808135327838</v>
      </c>
      <c r="K34">
        <f t="shared" si="9"/>
        <v>0.23688808135327838</v>
      </c>
      <c r="M34">
        <f t="shared" ref="M34:M73" si="10">LN(SUM(EXP(C34/$G$3),EXP(D34/$G$3),EXP(E34/$G$3),EXP(F34/$G$3)))</f>
        <v>1.4401674799598645</v>
      </c>
      <c r="N34" s="96">
        <f t="shared" ref="N34:N73" si="11">$G$30*IFERROR(M34-M33,M34)</f>
        <v>0.26936559419986961</v>
      </c>
      <c r="Q34">
        <f>SUM($N$33:N34)</f>
        <v>7.2008373997993225</v>
      </c>
    </row>
    <row r="35" spans="2:18" x14ac:dyDescent="0.25">
      <c r="B35">
        <v>3</v>
      </c>
      <c r="C35">
        <v>2</v>
      </c>
      <c r="D35">
        <v>3</v>
      </c>
      <c r="E35">
        <v>0</v>
      </c>
      <c r="F35">
        <v>0</v>
      </c>
      <c r="H35">
        <f t="shared" si="8"/>
        <v>0.28073777942761796</v>
      </c>
      <c r="I35">
        <f t="shared" si="9"/>
        <v>0.34289389811265397</v>
      </c>
      <c r="J35">
        <f t="shared" si="9"/>
        <v>0.18818416122986403</v>
      </c>
      <c r="K35">
        <f t="shared" si="9"/>
        <v>0.18818416122986403</v>
      </c>
      <c r="M35">
        <f t="shared" si="10"/>
        <v>1.6703342146186519</v>
      </c>
      <c r="N35" s="96">
        <f t="shared" si="11"/>
        <v>1.1508336732939373</v>
      </c>
      <c r="Q35">
        <f>SUM($N$33:N35)</f>
        <v>8.3516710730932591</v>
      </c>
    </row>
    <row r="36" spans="2:18" x14ac:dyDescent="0.25">
      <c r="B36">
        <v>4</v>
      </c>
      <c r="C36">
        <v>8</v>
      </c>
      <c r="D36">
        <v>9</v>
      </c>
      <c r="E36">
        <v>11</v>
      </c>
      <c r="F36">
        <v>0</v>
      </c>
      <c r="H36">
        <f t="shared" si="8"/>
        <v>0.23554806192697511</v>
      </c>
      <c r="I36">
        <f t="shared" si="9"/>
        <v>0.28769905251688987</v>
      </c>
      <c r="J36">
        <f t="shared" si="9"/>
        <v>0.42919655203268925</v>
      </c>
      <c r="K36">
        <f t="shared" si="9"/>
        <v>4.755633352344573E-2</v>
      </c>
      <c r="M36">
        <f t="shared" si="10"/>
        <v>3.0458403017324911</v>
      </c>
      <c r="N36" s="96">
        <f t="shared" si="11"/>
        <v>6.877530435569196</v>
      </c>
      <c r="Q36">
        <f>SUM($N$33:N36)</f>
        <v>15.229201508662456</v>
      </c>
    </row>
    <row r="37" spans="2:18" x14ac:dyDescent="0.25">
      <c r="B37">
        <v>5</v>
      </c>
      <c r="C37">
        <v>21</v>
      </c>
      <c r="D37">
        <v>25</v>
      </c>
      <c r="E37">
        <v>27</v>
      </c>
      <c r="F37">
        <v>17</v>
      </c>
      <c r="H37">
        <f t="shared" si="8"/>
        <v>0.14295952607174461</v>
      </c>
      <c r="I37">
        <f t="shared" si="9"/>
        <v>0.31816227639055356</v>
      </c>
      <c r="J37">
        <f t="shared" si="9"/>
        <v>0.47464234177719605</v>
      </c>
      <c r="K37">
        <f t="shared" si="9"/>
        <v>6.4235855760505917E-2</v>
      </c>
      <c r="M37">
        <f t="shared" si="10"/>
        <v>6.1451937232473677</v>
      </c>
      <c r="N37" s="96">
        <f t="shared" si="11"/>
        <v>15.496767107574383</v>
      </c>
      <c r="O37">
        <f>SUM(N34:N37)</f>
        <v>23.794496810637384</v>
      </c>
      <c r="Q37">
        <f>SUM($N$33:N37)</f>
        <v>30.725968616236841</v>
      </c>
    </row>
    <row r="38" spans="2:18" x14ac:dyDescent="0.25">
      <c r="B38">
        <v>6</v>
      </c>
      <c r="C38">
        <v>31</v>
      </c>
      <c r="D38">
        <v>36</v>
      </c>
      <c r="E38">
        <v>42</v>
      </c>
      <c r="F38">
        <v>57</v>
      </c>
      <c r="H38">
        <f t="shared" si="8"/>
        <v>5.1542263800937928E-3</v>
      </c>
      <c r="I38">
        <f t="shared" si="9"/>
        <v>1.4010639908773201E-2</v>
      </c>
      <c r="J38">
        <f t="shared" si="9"/>
        <v>4.6516962659485954E-2</v>
      </c>
      <c r="K38">
        <f t="shared" si="9"/>
        <v>0.93431817105164705</v>
      </c>
      <c r="M38">
        <f t="shared" si="10"/>
        <v>11.467938244531888</v>
      </c>
      <c r="N38" s="97">
        <f t="shared" si="11"/>
        <v>26.613722606422602</v>
      </c>
      <c r="Q38">
        <f>SUM($N$33:N38)</f>
        <v>57.33969122265944</v>
      </c>
    </row>
    <row r="39" spans="2:18" x14ac:dyDescent="0.25">
      <c r="B39">
        <v>7</v>
      </c>
      <c r="C39">
        <v>42</v>
      </c>
      <c r="D39">
        <v>53</v>
      </c>
      <c r="E39">
        <v>55</v>
      </c>
      <c r="F39">
        <v>40</v>
      </c>
      <c r="H39">
        <f t="shared" si="8"/>
        <v>4.1392319099229483E-2</v>
      </c>
      <c r="I39">
        <f t="shared" si="9"/>
        <v>0.37356623864343058</v>
      </c>
      <c r="J39">
        <f t="shared" si="9"/>
        <v>0.55729534101322264</v>
      </c>
      <c r="K39">
        <f t="shared" si="9"/>
        <v>2.7746101244117367E-2</v>
      </c>
      <c r="M39">
        <f t="shared" si="10"/>
        <v>11.584659944367623</v>
      </c>
      <c r="N39" s="97">
        <f t="shared" si="11"/>
        <v>0.58360849917867164</v>
      </c>
      <c r="Q39">
        <f>SUM($N$33:N39)</f>
        <v>57.923299721838113</v>
      </c>
    </row>
    <row r="40" spans="2:18" x14ac:dyDescent="0.25">
      <c r="B40">
        <v>8</v>
      </c>
      <c r="C40">
        <v>50</v>
      </c>
      <c r="D40">
        <v>80</v>
      </c>
      <c r="E40">
        <v>70</v>
      </c>
      <c r="F40">
        <v>42</v>
      </c>
      <c r="H40">
        <f t="shared" si="8"/>
        <v>2.1775635866085013E-3</v>
      </c>
      <c r="I40">
        <f t="shared" si="9"/>
        <v>0.87849185049918066</v>
      </c>
      <c r="J40">
        <f t="shared" si="9"/>
        <v>0.11889094340836263</v>
      </c>
      <c r="K40">
        <f t="shared" si="9"/>
        <v>4.3964250584820985E-4</v>
      </c>
      <c r="M40">
        <f t="shared" si="10"/>
        <v>16.1295486480068</v>
      </c>
      <c r="N40" s="97">
        <f t="shared" si="11"/>
        <v>22.724443518195887</v>
      </c>
      <c r="Q40">
        <f>SUM($N$33:N40)</f>
        <v>80.647743240034004</v>
      </c>
    </row>
    <row r="41" spans="2:18" x14ac:dyDescent="0.25">
      <c r="B41">
        <v>9</v>
      </c>
      <c r="C41">
        <v>30</v>
      </c>
      <c r="D41">
        <v>40</v>
      </c>
      <c r="E41">
        <v>113</v>
      </c>
      <c r="F41">
        <v>47</v>
      </c>
      <c r="H41">
        <f t="shared" si="8"/>
        <v>6.1760467062892996E-8</v>
      </c>
      <c r="I41">
        <f t="shared" si="9"/>
        <v>4.5635155582387502E-7</v>
      </c>
      <c r="J41">
        <f t="shared" si="9"/>
        <v>0.99999763129116293</v>
      </c>
      <c r="K41">
        <f t="shared" si="9"/>
        <v>1.8505968140464941E-6</v>
      </c>
      <c r="M41">
        <f t="shared" si="10"/>
        <v>22.600002368711642</v>
      </c>
      <c r="N41" s="97">
        <f t="shared" si="11"/>
        <v>32.352268603524209</v>
      </c>
      <c r="O41">
        <f>SUM(N38:N41)</f>
        <v>82.274043227321371</v>
      </c>
      <c r="Q41">
        <f>SUM($N$33:N41)</f>
        <v>113.00001184355821</v>
      </c>
    </row>
    <row r="42" spans="2:18" ht="15.75" thickBot="1" x14ac:dyDescent="0.3">
      <c r="B42" s="7">
        <v>10</v>
      </c>
      <c r="C42" s="7">
        <v>30</v>
      </c>
      <c r="D42" s="7">
        <v>11</v>
      </c>
      <c r="E42" s="7">
        <v>3</v>
      </c>
      <c r="F42" s="7">
        <v>4</v>
      </c>
      <c r="G42" s="7"/>
      <c r="H42" s="7">
        <f t="shared" si="8"/>
        <v>0.96861313999388043</v>
      </c>
      <c r="I42" s="7">
        <f t="shared" si="9"/>
        <v>2.1668623571687289E-2</v>
      </c>
      <c r="J42" s="7">
        <f t="shared" si="9"/>
        <v>4.3748196488605767E-3</v>
      </c>
      <c r="K42" s="7">
        <f t="shared" si="9"/>
        <v>5.3434167855716148E-3</v>
      </c>
      <c r="L42" s="7"/>
      <c r="M42" s="7">
        <f t="shared" si="10"/>
        <v>6.0318899831398376</v>
      </c>
      <c r="N42" s="8">
        <f t="shared" si="11"/>
        <v>-82.840561927859028</v>
      </c>
      <c r="O42" s="7"/>
      <c r="Q42">
        <f>SUM($N$33:N42)</f>
        <v>30.159449915699184</v>
      </c>
    </row>
    <row r="43" spans="2:18" ht="15.75" thickBot="1" x14ac:dyDescent="0.3">
      <c r="B43" s="106">
        <v>11</v>
      </c>
      <c r="C43" s="107">
        <v>30</v>
      </c>
      <c r="D43" s="107">
        <v>0</v>
      </c>
      <c r="E43" s="107">
        <v>0</v>
      </c>
      <c r="F43" s="107">
        <v>0</v>
      </c>
      <c r="G43" s="108"/>
      <c r="H43" s="108">
        <f t="shared" si="8"/>
        <v>0.9926186332070156</v>
      </c>
      <c r="I43" s="108">
        <f t="shared" si="9"/>
        <v>2.4604555976614757E-3</v>
      </c>
      <c r="J43" s="108">
        <f t="shared" si="9"/>
        <v>2.4604555976614757E-3</v>
      </c>
      <c r="K43" s="108">
        <f t="shared" si="9"/>
        <v>2.4604555976614757E-3</v>
      </c>
      <c r="L43" s="108"/>
      <c r="M43" s="108">
        <f t="shared" si="10"/>
        <v>6.007408743884282</v>
      </c>
      <c r="N43" s="109">
        <f t="shared" si="11"/>
        <v>-0.12240619627777782</v>
      </c>
      <c r="O43" s="95"/>
      <c r="Q43" s="106">
        <f>SUM($N$33:N43)</f>
        <v>30.037043719421405</v>
      </c>
      <c r="R43" s="106">
        <f>Q43</f>
        <v>30.037043719421405</v>
      </c>
    </row>
    <row r="44" spans="2:18" x14ac:dyDescent="0.25">
      <c r="B44">
        <v>12</v>
      </c>
      <c r="C44">
        <f>C43-1</f>
        <v>29</v>
      </c>
      <c r="D44">
        <v>0</v>
      </c>
      <c r="E44">
        <v>0</v>
      </c>
      <c r="F44">
        <v>0</v>
      </c>
      <c r="H44">
        <f t="shared" si="8"/>
        <v>0.99099908802515901</v>
      </c>
      <c r="I44">
        <f t="shared" si="9"/>
        <v>3.000303991613675E-3</v>
      </c>
      <c r="J44">
        <f t="shared" si="9"/>
        <v>3.000303991613675E-3</v>
      </c>
      <c r="K44">
        <f t="shared" si="9"/>
        <v>3.000303991613675E-3</v>
      </c>
      <c r="M44">
        <f t="shared" si="10"/>
        <v>5.8090416649097278</v>
      </c>
      <c r="N44" s="110">
        <f t="shared" si="11"/>
        <v>-0.99183539487277095</v>
      </c>
      <c r="Q44">
        <f>SUM($N$33:N44)</f>
        <v>29.045208324548632</v>
      </c>
      <c r="R44">
        <f>R43-(C43-C44)</f>
        <v>29.037043719421405</v>
      </c>
    </row>
    <row r="45" spans="2:18" x14ac:dyDescent="0.25">
      <c r="B45">
        <v>13</v>
      </c>
      <c r="C45">
        <f t="shared" ref="C45:C73" si="12">C44-1</f>
        <v>28</v>
      </c>
      <c r="D45">
        <v>0</v>
      </c>
      <c r="E45">
        <v>0</v>
      </c>
      <c r="F45">
        <v>0</v>
      </c>
      <c r="H45">
        <f t="shared" si="8"/>
        <v>0.98902812633117654</v>
      </c>
      <c r="I45">
        <f t="shared" si="9"/>
        <v>3.6572912229411551E-3</v>
      </c>
      <c r="J45">
        <f t="shared" si="9"/>
        <v>3.6572912229411551E-3</v>
      </c>
      <c r="K45">
        <f t="shared" si="9"/>
        <v>3.6572912229411551E-3</v>
      </c>
      <c r="M45">
        <f t="shared" si="10"/>
        <v>5.611032508601852</v>
      </c>
      <c r="N45" s="110">
        <f t="shared" si="11"/>
        <v>-0.99004578153937928</v>
      </c>
      <c r="Q45">
        <f>SUM($N$33:N45)</f>
        <v>28.055162543009253</v>
      </c>
      <c r="R45">
        <f t="shared" ref="R45:R73" si="13">R44-(C44-C45)</f>
        <v>28.037043719421405</v>
      </c>
    </row>
    <row r="46" spans="2:18" x14ac:dyDescent="0.25">
      <c r="B46">
        <v>14</v>
      </c>
      <c r="C46">
        <f t="shared" si="12"/>
        <v>27</v>
      </c>
      <c r="D46">
        <v>0</v>
      </c>
      <c r="E46">
        <v>0</v>
      </c>
      <c r="F46">
        <v>0</v>
      </c>
      <c r="H46">
        <f t="shared" si="8"/>
        <v>0.98663139828733637</v>
      </c>
      <c r="I46">
        <f t="shared" si="9"/>
        <v>4.4562005708878704E-3</v>
      </c>
      <c r="J46">
        <f t="shared" si="9"/>
        <v>4.4562005708878704E-3</v>
      </c>
      <c r="K46">
        <f t="shared" si="9"/>
        <v>4.4562005708878704E-3</v>
      </c>
      <c r="M46">
        <f t="shared" si="10"/>
        <v>5.4134587659500593</v>
      </c>
      <c r="N46" s="110">
        <f t="shared" si="11"/>
        <v>-0.98786871325896364</v>
      </c>
      <c r="Q46">
        <f>SUM($N$33:N46)</f>
        <v>27.067293829750291</v>
      </c>
      <c r="R46">
        <f t="shared" si="13"/>
        <v>27.037043719421405</v>
      </c>
    </row>
    <row r="47" spans="2:18" x14ac:dyDescent="0.25">
      <c r="B47">
        <v>15</v>
      </c>
      <c r="C47">
        <f t="shared" si="12"/>
        <v>26</v>
      </c>
      <c r="D47">
        <v>0</v>
      </c>
      <c r="E47">
        <v>0</v>
      </c>
      <c r="F47">
        <v>0</v>
      </c>
      <c r="H47">
        <f t="shared" si="8"/>
        <v>0.98371974004618357</v>
      </c>
      <c r="I47">
        <f t="shared" si="9"/>
        <v>5.426753317938811E-3</v>
      </c>
      <c r="J47">
        <f t="shared" si="9"/>
        <v>5.426753317938811E-3</v>
      </c>
      <c r="K47">
        <f t="shared" si="9"/>
        <v>5.426753317938811E-3</v>
      </c>
      <c r="M47">
        <f t="shared" si="10"/>
        <v>5.2164142395241928</v>
      </c>
      <c r="N47" s="110">
        <f t="shared" si="11"/>
        <v>-0.98522263212933225</v>
      </c>
      <c r="Q47">
        <f>SUM($N$33:N47)</f>
        <v>26.082071197620959</v>
      </c>
      <c r="R47">
        <f t="shared" si="13"/>
        <v>26.037043719421405</v>
      </c>
    </row>
    <row r="48" spans="2:18" x14ac:dyDescent="0.25">
      <c r="B48">
        <v>16</v>
      </c>
      <c r="C48">
        <f t="shared" si="12"/>
        <v>25</v>
      </c>
      <c r="D48">
        <v>0</v>
      </c>
      <c r="E48">
        <v>0</v>
      </c>
      <c r="F48">
        <v>0</v>
      </c>
      <c r="H48">
        <f t="shared" si="8"/>
        <v>0.98018666265349097</v>
      </c>
      <c r="I48">
        <f t="shared" si="9"/>
        <v>6.6044457821696888E-3</v>
      </c>
      <c r="J48">
        <f t="shared" si="9"/>
        <v>6.6044457821696888E-3</v>
      </c>
      <c r="K48">
        <f t="shared" si="9"/>
        <v>6.6044457821696888E-3</v>
      </c>
      <c r="M48">
        <f t="shared" si="10"/>
        <v>5.020012253359627</v>
      </c>
      <c r="N48" s="110">
        <f t="shared" si="11"/>
        <v>-0.98200993082282917</v>
      </c>
      <c r="Q48">
        <f>SUM($N$33:N48)</f>
        <v>25.100061266798129</v>
      </c>
      <c r="R48">
        <f t="shared" si="13"/>
        <v>25.037043719421405</v>
      </c>
    </row>
    <row r="49" spans="2:18" x14ac:dyDescent="0.25">
      <c r="B49">
        <v>17</v>
      </c>
      <c r="C49">
        <f t="shared" si="12"/>
        <v>24</v>
      </c>
      <c r="D49">
        <v>0</v>
      </c>
      <c r="E49">
        <v>0</v>
      </c>
      <c r="F49">
        <v>0</v>
      </c>
      <c r="H49">
        <f t="shared" si="8"/>
        <v>0.97590563055056345</v>
      </c>
      <c r="I49">
        <f>EXP(D49/$G$3)/SUM(EXP($C49/$G$3),EXP($D49/$G$3),EXP($E49/$G$3),EXP($F49/$G$3))</f>
        <v>8.0314564831455316E-3</v>
      </c>
      <c r="J49">
        <f>EXP(E49/$G$3)/SUM(EXP($C49/$G$3),EXP($D49/$G$3),EXP($E49/$G$3),EXP($F49/$G$3))</f>
        <v>8.0314564831455316E-3</v>
      </c>
      <c r="K49">
        <f>EXP(F49/$G$3)/SUM(EXP($C49/$G$3),EXP($D49/$G$3),EXP($E49/$G$3),EXP($F49/$G$3))</f>
        <v>8.0314564831455316E-3</v>
      </c>
      <c r="M49">
        <f t="shared" si="10"/>
        <v>4.8243893872534933</v>
      </c>
      <c r="N49" s="110">
        <f t="shared" si="11"/>
        <v>-0.97811433053066832</v>
      </c>
      <c r="Q49">
        <f>SUM($N$33:N49)</f>
        <v>24.121946936267459</v>
      </c>
      <c r="R49">
        <f t="shared" si="13"/>
        <v>24.037043719421405</v>
      </c>
    </row>
    <row r="50" spans="2:18" x14ac:dyDescent="0.25">
      <c r="B50">
        <v>18</v>
      </c>
      <c r="C50">
        <f t="shared" si="12"/>
        <v>23</v>
      </c>
      <c r="D50">
        <v>0</v>
      </c>
      <c r="E50">
        <v>0</v>
      </c>
      <c r="F50">
        <v>0</v>
      </c>
      <c r="H50">
        <f t="shared" ref="H50:K65" si="14">EXP(C50/$G$3)/SUM(EXP($C50/$G$3),EXP($D50/$G$3),EXP($E50/$G$3),EXP($F50/$G$3))</f>
        <v>0.9707272280523237</v>
      </c>
      <c r="I50">
        <f t="shared" si="14"/>
        <v>9.7575906492254252E-3</v>
      </c>
      <c r="J50">
        <f t="shared" si="14"/>
        <v>9.7575906492254252E-3</v>
      </c>
      <c r="K50">
        <f t="shared" si="14"/>
        <v>9.7575906492254252E-3</v>
      </c>
      <c r="M50">
        <f t="shared" si="10"/>
        <v>4.6297097687425195</v>
      </c>
      <c r="N50" s="110">
        <f t="shared" si="11"/>
        <v>-0.97339809255486909</v>
      </c>
      <c r="Q50">
        <f>SUM($N$33:N50)</f>
        <v>23.148548843712589</v>
      </c>
      <c r="R50">
        <f t="shared" si="13"/>
        <v>23.037043719421405</v>
      </c>
    </row>
    <row r="51" spans="2:18" x14ac:dyDescent="0.25">
      <c r="B51">
        <v>19</v>
      </c>
      <c r="C51">
        <f t="shared" si="12"/>
        <v>22</v>
      </c>
      <c r="D51">
        <v>0</v>
      </c>
      <c r="E51">
        <v>0</v>
      </c>
      <c r="F51">
        <v>0</v>
      </c>
      <c r="H51">
        <f t="shared" si="14"/>
        <v>0.96447638671543401</v>
      </c>
      <c r="I51">
        <f t="shared" si="14"/>
        <v>1.1841204428188664E-2</v>
      </c>
      <c r="J51">
        <f t="shared" si="14"/>
        <v>1.1841204428188664E-2</v>
      </c>
      <c r="K51">
        <f t="shared" si="14"/>
        <v>1.1841204428188664E-2</v>
      </c>
      <c r="M51">
        <f t="shared" si="10"/>
        <v>4.4361699293461783</v>
      </c>
      <c r="N51" s="110">
        <f t="shared" si="11"/>
        <v>-0.96769919698170614</v>
      </c>
      <c r="Q51">
        <f>SUM($N$33:N51)</f>
        <v>22.180849646730884</v>
      </c>
      <c r="R51">
        <f t="shared" si="13"/>
        <v>22.037043719421405</v>
      </c>
    </row>
    <row r="52" spans="2:18" x14ac:dyDescent="0.25">
      <c r="B52">
        <v>20</v>
      </c>
      <c r="C52">
        <f t="shared" si="12"/>
        <v>21</v>
      </c>
      <c r="D52">
        <v>0</v>
      </c>
      <c r="E52">
        <v>0</v>
      </c>
      <c r="F52">
        <v>0</v>
      </c>
      <c r="H52">
        <f t="shared" si="14"/>
        <v>0.95694995051126786</v>
      </c>
      <c r="I52">
        <f t="shared" si="14"/>
        <v>1.4350016496244053E-2</v>
      </c>
      <c r="J52">
        <f t="shared" si="14"/>
        <v>1.4350016496244053E-2</v>
      </c>
      <c r="K52">
        <f t="shared" si="14"/>
        <v>1.4350016496244053E-2</v>
      </c>
      <c r="M52">
        <f t="shared" si="10"/>
        <v>4.2440041872131218</v>
      </c>
      <c r="N52" s="110">
        <f t="shared" si="11"/>
        <v>-0.96082871066528241</v>
      </c>
      <c r="Q52">
        <f>SUM($N$33:N52)</f>
        <v>21.220020936065602</v>
      </c>
      <c r="R52">
        <f t="shared" si="13"/>
        <v>21.037043719421405</v>
      </c>
    </row>
    <row r="53" spans="2:18" x14ac:dyDescent="0.25">
      <c r="B53">
        <v>21</v>
      </c>
      <c r="C53">
        <f t="shared" si="12"/>
        <v>20</v>
      </c>
      <c r="D53">
        <v>0</v>
      </c>
      <c r="E53">
        <v>0</v>
      </c>
      <c r="F53">
        <v>0</v>
      </c>
      <c r="H53">
        <f t="shared" si="14"/>
        <v>0.94791499382751565</v>
      </c>
      <c r="I53">
        <f t="shared" si="14"/>
        <v>1.7361668724161467E-2</v>
      </c>
      <c r="J53">
        <f t="shared" si="14"/>
        <v>1.7361668724161467E-2</v>
      </c>
      <c r="K53">
        <f t="shared" si="14"/>
        <v>1.7361668724161467E-2</v>
      </c>
      <c r="M53">
        <f t="shared" si="10"/>
        <v>4.0534904497059339</v>
      </c>
      <c r="N53" s="110">
        <f t="shared" si="11"/>
        <v>-0.9525686875359396</v>
      </c>
      <c r="Q53">
        <f>SUM($N$33:N53)</f>
        <v>20.267452248529661</v>
      </c>
      <c r="R53">
        <f t="shared" si="13"/>
        <v>20.037043719421405</v>
      </c>
    </row>
    <row r="54" spans="2:18" x14ac:dyDescent="0.25">
      <c r="B54">
        <v>22</v>
      </c>
      <c r="C54">
        <f t="shared" si="12"/>
        <v>19</v>
      </c>
      <c r="D54">
        <v>0</v>
      </c>
      <c r="E54">
        <v>0</v>
      </c>
      <c r="F54">
        <v>0</v>
      </c>
      <c r="H54">
        <f t="shared" si="14"/>
        <v>0.93710847997031765</v>
      </c>
      <c r="I54">
        <f t="shared" si="14"/>
        <v>2.0963840009894107E-2</v>
      </c>
      <c r="J54">
        <f t="shared" si="14"/>
        <v>2.0963840009894107E-2</v>
      </c>
      <c r="K54">
        <f t="shared" si="14"/>
        <v>2.0963840009894107E-2</v>
      </c>
      <c r="M54">
        <f t="shared" si="10"/>
        <v>3.8649562297306539</v>
      </c>
      <c r="N54" s="110">
        <f t="shared" si="11"/>
        <v>-0.94267109987639985</v>
      </c>
      <c r="Q54">
        <f>SUM($N$33:N54)</f>
        <v>19.324781148653262</v>
      </c>
      <c r="R54">
        <f t="shared" si="13"/>
        <v>19.037043719421405</v>
      </c>
    </row>
    <row r="55" spans="2:18" x14ac:dyDescent="0.25">
      <c r="B55">
        <v>23</v>
      </c>
      <c r="C55">
        <f t="shared" si="12"/>
        <v>18</v>
      </c>
      <c r="D55">
        <v>0</v>
      </c>
      <c r="E55">
        <v>0</v>
      </c>
      <c r="F55">
        <v>0</v>
      </c>
      <c r="H55">
        <f t="shared" si="14"/>
        <v>0.92423904645882615</v>
      </c>
      <c r="I55">
        <f t="shared" si="14"/>
        <v>2.5253651180391298E-2</v>
      </c>
      <c r="J55">
        <f t="shared" si="14"/>
        <v>2.5253651180391298E-2</v>
      </c>
      <c r="K55">
        <f t="shared" si="14"/>
        <v>2.5253651180391298E-2</v>
      </c>
      <c r="M55">
        <f t="shared" si="10"/>
        <v>3.6787845325108988</v>
      </c>
      <c r="N55" s="110">
        <f t="shared" si="11"/>
        <v>-0.93085848609877564</v>
      </c>
      <c r="Q55">
        <f>SUM($N$33:N55)</f>
        <v>18.393922662554488</v>
      </c>
      <c r="R55">
        <f t="shared" si="13"/>
        <v>18.037043719421405</v>
      </c>
    </row>
    <row r="56" spans="2:18" x14ac:dyDescent="0.25">
      <c r="B56">
        <v>24</v>
      </c>
      <c r="C56">
        <f t="shared" si="12"/>
        <v>17</v>
      </c>
      <c r="D56">
        <v>0</v>
      </c>
      <c r="E56">
        <v>0</v>
      </c>
      <c r="F56">
        <v>0</v>
      </c>
      <c r="H56">
        <f t="shared" si="14"/>
        <v>0.90899190344385294</v>
      </c>
      <c r="I56">
        <f t="shared" si="14"/>
        <v>3.0336032185382365E-2</v>
      </c>
      <c r="J56">
        <f t="shared" si="14"/>
        <v>3.0336032185382365E-2</v>
      </c>
      <c r="K56">
        <f t="shared" si="14"/>
        <v>3.0336032185382365E-2</v>
      </c>
      <c r="M56">
        <f t="shared" si="10"/>
        <v>3.4954190919467987</v>
      </c>
      <c r="N56" s="110">
        <f t="shared" si="11"/>
        <v>-0.91682720282050045</v>
      </c>
      <c r="Q56">
        <f>SUM($N$33:N56)</f>
        <v>17.477095459733988</v>
      </c>
      <c r="R56">
        <f t="shared" si="13"/>
        <v>17.037043719421405</v>
      </c>
    </row>
    <row r="57" spans="2:18" x14ac:dyDescent="0.25">
      <c r="B57">
        <v>25</v>
      </c>
      <c r="C57">
        <f t="shared" si="12"/>
        <v>16</v>
      </c>
      <c r="D57">
        <v>0</v>
      </c>
      <c r="E57">
        <v>0</v>
      </c>
      <c r="F57">
        <v>0</v>
      </c>
      <c r="H57">
        <f t="shared" si="14"/>
        <v>0.89103798384955657</v>
      </c>
      <c r="I57">
        <f t="shared" si="14"/>
        <v>3.6320672050147801E-2</v>
      </c>
      <c r="J57">
        <f t="shared" si="14"/>
        <v>3.6320672050147801E-2</v>
      </c>
      <c r="K57">
        <f t="shared" si="14"/>
        <v>3.6320672050147801E-2</v>
      </c>
      <c r="M57">
        <f t="shared" si="10"/>
        <v>3.3153682218368692</v>
      </c>
      <c r="N57" s="110">
        <f t="shared" si="11"/>
        <v>-0.90025435054964742</v>
      </c>
      <c r="Q57">
        <f>SUM($N$33:N57)</f>
        <v>16.57684110918434</v>
      </c>
      <c r="R57">
        <f t="shared" si="13"/>
        <v>16.037043719421405</v>
      </c>
    </row>
    <row r="58" spans="2:18" x14ac:dyDescent="0.25">
      <c r="B58">
        <v>26</v>
      </c>
      <c r="C58">
        <f t="shared" si="12"/>
        <v>15</v>
      </c>
      <c r="D58">
        <v>0</v>
      </c>
      <c r="E58">
        <v>0</v>
      </c>
      <c r="F58">
        <v>0</v>
      </c>
      <c r="H58">
        <f t="shared" si="14"/>
        <v>0.87004850656140775</v>
      </c>
      <c r="I58">
        <f t="shared" si="14"/>
        <v>4.3317164479530733E-2</v>
      </c>
      <c r="J58">
        <f t="shared" si="14"/>
        <v>4.3317164479530733E-2</v>
      </c>
      <c r="K58">
        <f t="shared" si="14"/>
        <v>4.3317164479530733E-2</v>
      </c>
      <c r="M58">
        <f t="shared" si="10"/>
        <v>3.1392063142194564</v>
      </c>
      <c r="N58" s="110">
        <f t="shared" si="11"/>
        <v>-0.88080953808706397</v>
      </c>
      <c r="Q58">
        <f>SUM($N$33:N58)</f>
        <v>15.696031571097276</v>
      </c>
      <c r="R58">
        <f t="shared" si="13"/>
        <v>15.037043719421405</v>
      </c>
    </row>
    <row r="59" spans="2:18" x14ac:dyDescent="0.25">
      <c r="B59">
        <v>27</v>
      </c>
      <c r="C59">
        <f t="shared" si="12"/>
        <v>14</v>
      </c>
      <c r="D59">
        <v>0</v>
      </c>
      <c r="E59">
        <v>0</v>
      </c>
      <c r="F59">
        <v>0</v>
      </c>
      <c r="H59">
        <f t="shared" si="14"/>
        <v>0.84571589109763279</v>
      </c>
      <c r="I59">
        <f t="shared" si="14"/>
        <v>5.1428036300789071E-2</v>
      </c>
      <c r="J59">
        <f t="shared" si="14"/>
        <v>5.1428036300789071E-2</v>
      </c>
      <c r="K59">
        <f t="shared" si="14"/>
        <v>5.1428036300789071E-2</v>
      </c>
      <c r="M59">
        <f t="shared" si="10"/>
        <v>2.9675718019038646</v>
      </c>
      <c r="N59" s="110">
        <f t="shared" si="11"/>
        <v>-0.85817256157795896</v>
      </c>
      <c r="Q59">
        <f>SUM($N$33:N59)</f>
        <v>14.837859009519317</v>
      </c>
      <c r="R59">
        <f t="shared" si="13"/>
        <v>14.037043719421405</v>
      </c>
    </row>
    <row r="60" spans="2:18" x14ac:dyDescent="0.25">
      <c r="B60">
        <v>28</v>
      </c>
      <c r="C60">
        <f t="shared" si="12"/>
        <v>13</v>
      </c>
      <c r="D60">
        <v>0</v>
      </c>
      <c r="E60">
        <v>0</v>
      </c>
      <c r="F60">
        <v>0</v>
      </c>
      <c r="H60">
        <f t="shared" si="14"/>
        <v>0.81778135720927791</v>
      </c>
      <c r="I60">
        <f t="shared" si="14"/>
        <v>6.073954759690741E-2</v>
      </c>
      <c r="J60">
        <f t="shared" si="14"/>
        <v>6.073954759690741E-2</v>
      </c>
      <c r="K60">
        <f t="shared" si="14"/>
        <v>6.073954759690741E-2</v>
      </c>
      <c r="M60">
        <f t="shared" si="10"/>
        <v>2.8011602675827989</v>
      </c>
      <c r="N60" s="110">
        <f t="shared" si="11"/>
        <v>-0.83205767160532851</v>
      </c>
      <c r="Q60">
        <f>SUM($N$33:N60)</f>
        <v>14.005801337913988</v>
      </c>
      <c r="R60">
        <f t="shared" si="13"/>
        <v>13.037043719421405</v>
      </c>
    </row>
    <row r="61" spans="2:18" x14ac:dyDescent="0.25">
      <c r="B61">
        <v>29</v>
      </c>
      <c r="C61">
        <f t="shared" si="12"/>
        <v>12</v>
      </c>
      <c r="D61">
        <v>0</v>
      </c>
      <c r="E61">
        <v>0</v>
      </c>
      <c r="F61">
        <v>0</v>
      </c>
      <c r="H61">
        <f t="shared" si="14"/>
        <v>0.78606843994764464</v>
      </c>
      <c r="I61">
        <f t="shared" si="14"/>
        <v>7.1310520017451792E-2</v>
      </c>
      <c r="J61">
        <f t="shared" si="14"/>
        <v>7.1310520017451792E-2</v>
      </c>
      <c r="K61">
        <f t="shared" si="14"/>
        <v>7.1310520017451792E-2</v>
      </c>
      <c r="M61">
        <f t="shared" si="10"/>
        <v>2.6407114166188883</v>
      </c>
      <c r="N61" s="110">
        <f t="shared" si="11"/>
        <v>-0.80224425481955297</v>
      </c>
      <c r="Q61">
        <f>SUM($N$33:N61)</f>
        <v>13.203557083094434</v>
      </c>
      <c r="R61">
        <f t="shared" si="13"/>
        <v>12.037043719421405</v>
      </c>
    </row>
    <row r="62" spans="2:18" x14ac:dyDescent="0.25">
      <c r="B62">
        <v>30</v>
      </c>
      <c r="C62">
        <f t="shared" si="12"/>
        <v>11</v>
      </c>
      <c r="D62">
        <v>0</v>
      </c>
      <c r="E62">
        <v>0</v>
      </c>
      <c r="F62">
        <v>0</v>
      </c>
      <c r="H62">
        <f t="shared" si="14"/>
        <v>0.75052003058947292</v>
      </c>
      <c r="I62">
        <f t="shared" si="14"/>
        <v>8.3159989803509027E-2</v>
      </c>
      <c r="J62">
        <f t="shared" si="14"/>
        <v>8.3159989803509027E-2</v>
      </c>
      <c r="K62">
        <f t="shared" si="14"/>
        <v>8.3159989803509027E-2</v>
      </c>
      <c r="M62">
        <f t="shared" si="10"/>
        <v>2.486988938605259</v>
      </c>
      <c r="N62" s="110">
        <f t="shared" si="11"/>
        <v>-0.7686123900681463</v>
      </c>
      <c r="Q62">
        <f>SUM($N$33:N62)</f>
        <v>12.434944693026289</v>
      </c>
      <c r="R62">
        <f t="shared" si="13"/>
        <v>11.037043719421405</v>
      </c>
    </row>
    <row r="63" spans="2:18" x14ac:dyDescent="0.25">
      <c r="B63">
        <v>31</v>
      </c>
      <c r="C63">
        <f t="shared" si="12"/>
        <v>10</v>
      </c>
      <c r="D63">
        <v>0</v>
      </c>
      <c r="E63">
        <v>0</v>
      </c>
      <c r="F63">
        <v>0</v>
      </c>
      <c r="H63">
        <f t="shared" si="14"/>
        <v>0.71123459422759383</v>
      </c>
      <c r="I63">
        <f t="shared" si="14"/>
        <v>9.6255135257468719E-2</v>
      </c>
      <c r="J63">
        <f t="shared" si="14"/>
        <v>9.6255135257468719E-2</v>
      </c>
      <c r="K63">
        <f t="shared" si="14"/>
        <v>9.6255135257468719E-2</v>
      </c>
      <c r="M63">
        <f t="shared" si="10"/>
        <v>2.3407529539131313</v>
      </c>
      <c r="N63" s="110">
        <f t="shared" si="11"/>
        <v>-0.73117992346063865</v>
      </c>
      <c r="Q63">
        <f>SUM($N$33:N63)</f>
        <v>11.70376476956565</v>
      </c>
      <c r="R63">
        <f t="shared" si="13"/>
        <v>10.037043719421405</v>
      </c>
    </row>
    <row r="64" spans="2:18" x14ac:dyDescent="0.25">
      <c r="B64">
        <v>32</v>
      </c>
      <c r="C64">
        <f t="shared" si="12"/>
        <v>9</v>
      </c>
      <c r="D64">
        <v>0</v>
      </c>
      <c r="E64">
        <v>0</v>
      </c>
      <c r="F64">
        <v>0</v>
      </c>
      <c r="H64">
        <f t="shared" si="14"/>
        <v>0.66849537379248503</v>
      </c>
      <c r="I64">
        <f t="shared" si="14"/>
        <v>0.11050154206917169</v>
      </c>
      <c r="J64">
        <f t="shared" si="14"/>
        <v>0.11050154206917169</v>
      </c>
      <c r="K64">
        <f t="shared" si="14"/>
        <v>0.11050154206917169</v>
      </c>
      <c r="M64">
        <f t="shared" si="10"/>
        <v>2.2027258027445855</v>
      </c>
      <c r="N64" s="110">
        <f t="shared" si="11"/>
        <v>-0.69013575584272902</v>
      </c>
      <c r="Q64">
        <f>SUM($N$33:N64)</f>
        <v>11.013629013722921</v>
      </c>
      <c r="R64">
        <f t="shared" si="13"/>
        <v>9.0370437194214048</v>
      </c>
    </row>
    <row r="65" spans="2:18" x14ac:dyDescent="0.25">
      <c r="B65">
        <v>33</v>
      </c>
      <c r="C65">
        <f t="shared" si="12"/>
        <v>8</v>
      </c>
      <c r="D65">
        <v>0</v>
      </c>
      <c r="E65">
        <v>0</v>
      </c>
      <c r="F65">
        <v>0</v>
      </c>
      <c r="H65">
        <f t="shared" si="14"/>
        <v>0.62278539305362235</v>
      </c>
      <c r="I65">
        <f t="shared" si="14"/>
        <v>0.12573820231545921</v>
      </c>
      <c r="J65">
        <f t="shared" si="14"/>
        <v>0.12573820231545921</v>
      </c>
      <c r="K65">
        <f t="shared" si="14"/>
        <v>0.12573820231545921</v>
      </c>
      <c r="M65">
        <f t="shared" si="10"/>
        <v>2.0735532929684619</v>
      </c>
      <c r="N65" s="110">
        <f t="shared" si="11"/>
        <v>-0.645862548880618</v>
      </c>
      <c r="Q65">
        <f>SUM($N$33:N65)</f>
        <v>10.367766464842303</v>
      </c>
      <c r="R65">
        <f t="shared" si="13"/>
        <v>8.0370437194214048</v>
      </c>
    </row>
    <row r="66" spans="2:18" x14ac:dyDescent="0.25">
      <c r="B66">
        <v>34</v>
      </c>
      <c r="C66">
        <f t="shared" si="12"/>
        <v>7</v>
      </c>
      <c r="D66">
        <v>0</v>
      </c>
      <c r="E66">
        <v>0</v>
      </c>
      <c r="F66">
        <v>0</v>
      </c>
      <c r="H66">
        <f t="shared" ref="H66:K73" si="15">EXP(C66/$G$3)/SUM(EXP($C66/$G$3),EXP($D66/$G$3),EXP($E66/$G$3),EXP($F66/$G$3))</f>
        <v>0.5747817192853143</v>
      </c>
      <c r="I66">
        <f t="shared" si="15"/>
        <v>0.14173942690489524</v>
      </c>
      <c r="J66">
        <f t="shared" si="15"/>
        <v>0.14173942690489524</v>
      </c>
      <c r="K66">
        <f t="shared" si="15"/>
        <v>0.14173942690489524</v>
      </c>
      <c r="M66">
        <f t="shared" si="10"/>
        <v>1.9537649288924173</v>
      </c>
      <c r="N66" s="110">
        <f t="shared" si="11"/>
        <v>-0.59894182038022326</v>
      </c>
      <c r="Q66">
        <f>SUM($N$33:N66)</f>
        <v>9.7688246444620788</v>
      </c>
      <c r="R66">
        <f t="shared" si="13"/>
        <v>7.0370437194214048</v>
      </c>
    </row>
    <row r="67" spans="2:18" x14ac:dyDescent="0.25">
      <c r="B67">
        <v>35</v>
      </c>
      <c r="C67">
        <f t="shared" si="12"/>
        <v>6</v>
      </c>
      <c r="D67">
        <v>0</v>
      </c>
      <c r="E67">
        <v>0</v>
      </c>
      <c r="F67">
        <v>0</v>
      </c>
      <c r="H67">
        <f t="shared" si="15"/>
        <v>0.52532523738484416</v>
      </c>
      <c r="I67">
        <f t="shared" si="15"/>
        <v>0.15822492087171863</v>
      </c>
      <c r="J67">
        <f t="shared" si="15"/>
        <v>0.15822492087171863</v>
      </c>
      <c r="K67">
        <f t="shared" si="15"/>
        <v>0.15822492087171863</v>
      </c>
      <c r="M67">
        <f t="shared" si="10"/>
        <v>1.8437377084206332</v>
      </c>
      <c r="N67" s="110">
        <f t="shared" si="11"/>
        <v>-0.55013610235892019</v>
      </c>
      <c r="Q67">
        <f>SUM($N$33:N67)</f>
        <v>9.218688542103159</v>
      </c>
      <c r="R67">
        <f t="shared" si="13"/>
        <v>6.0370437194214048</v>
      </c>
    </row>
    <row r="68" spans="2:18" x14ac:dyDescent="0.25">
      <c r="B68">
        <v>36</v>
      </c>
      <c r="C68">
        <f t="shared" si="12"/>
        <v>5</v>
      </c>
      <c r="D68">
        <v>0</v>
      </c>
      <c r="E68">
        <v>0</v>
      </c>
      <c r="F68">
        <v>0</v>
      </c>
      <c r="H68">
        <f t="shared" si="15"/>
        <v>0.4753668864186717</v>
      </c>
      <c r="I68">
        <f t="shared" si="15"/>
        <v>0.17487770452710946</v>
      </c>
      <c r="J68">
        <f t="shared" si="15"/>
        <v>0.17487770452710946</v>
      </c>
      <c r="K68">
        <f t="shared" si="15"/>
        <v>0.17487770452710946</v>
      </c>
      <c r="M68">
        <f t="shared" si="10"/>
        <v>1.743668380628679</v>
      </c>
      <c r="N68" s="110">
        <f t="shared" si="11"/>
        <v>-0.50034663895977105</v>
      </c>
      <c r="Q68">
        <f>SUM($N$33:N68)</f>
        <v>8.7183419031433882</v>
      </c>
      <c r="R68">
        <f t="shared" si="13"/>
        <v>5.0370437194214048</v>
      </c>
    </row>
    <row r="69" spans="2:18" x14ac:dyDescent="0.25">
      <c r="B69">
        <v>37</v>
      </c>
      <c r="C69">
        <f t="shared" si="12"/>
        <v>4</v>
      </c>
      <c r="D69">
        <v>0</v>
      </c>
      <c r="E69">
        <v>0</v>
      </c>
      <c r="F69">
        <v>0</v>
      </c>
      <c r="H69">
        <f t="shared" si="15"/>
        <v>0.42589675575166169</v>
      </c>
      <c r="I69">
        <f t="shared" si="15"/>
        <v>0.19136774808277945</v>
      </c>
      <c r="J69">
        <f t="shared" si="15"/>
        <v>0.19136774808277945</v>
      </c>
      <c r="K69">
        <f t="shared" si="15"/>
        <v>0.19136774808277945</v>
      </c>
      <c r="M69">
        <f t="shared" si="10"/>
        <v>1.6535583194765306</v>
      </c>
      <c r="N69" s="110">
        <f t="shared" si="11"/>
        <v>-0.45055030576074184</v>
      </c>
      <c r="Q69">
        <f>SUM($N$33:N69)</f>
        <v>8.2677915973826472</v>
      </c>
      <c r="R69">
        <f t="shared" si="13"/>
        <v>4.0370437194214048</v>
      </c>
    </row>
    <row r="70" spans="2:18" x14ac:dyDescent="0.25">
      <c r="B70">
        <v>38</v>
      </c>
      <c r="C70">
        <f t="shared" si="12"/>
        <v>3</v>
      </c>
      <c r="D70">
        <v>0</v>
      </c>
      <c r="E70">
        <v>0</v>
      </c>
      <c r="F70">
        <v>0</v>
      </c>
      <c r="H70">
        <f t="shared" si="15"/>
        <v>0.3778668414894607</v>
      </c>
      <c r="I70">
        <f t="shared" si="15"/>
        <v>0.20737771950351308</v>
      </c>
      <c r="J70">
        <f t="shared" si="15"/>
        <v>0.20737771950351308</v>
      </c>
      <c r="K70">
        <f t="shared" si="15"/>
        <v>0.20737771950351308</v>
      </c>
      <c r="M70">
        <f t="shared" si="10"/>
        <v>1.5732134166165241</v>
      </c>
      <c r="N70" s="110">
        <f t="shared" si="11"/>
        <v>-0.40172451430003253</v>
      </c>
      <c r="Q70">
        <f>SUM($N$33:N70)</f>
        <v>7.8660670830826147</v>
      </c>
      <c r="R70">
        <f t="shared" si="13"/>
        <v>3.0370437194214048</v>
      </c>
    </row>
    <row r="71" spans="2:18" x14ac:dyDescent="0.25">
      <c r="B71">
        <v>39</v>
      </c>
      <c r="C71">
        <f t="shared" si="12"/>
        <v>2</v>
      </c>
      <c r="D71">
        <v>0</v>
      </c>
      <c r="E71">
        <v>0</v>
      </c>
      <c r="F71">
        <v>0</v>
      </c>
      <c r="H71">
        <f t="shared" si="15"/>
        <v>0.33211997307567492</v>
      </c>
      <c r="I71">
        <f t="shared" si="15"/>
        <v>0.2226266756414417</v>
      </c>
      <c r="J71">
        <f t="shared" si="15"/>
        <v>0.2226266756414417</v>
      </c>
      <c r="K71">
        <f t="shared" si="15"/>
        <v>0.2226266756414417</v>
      </c>
      <c r="M71">
        <f t="shared" si="10"/>
        <v>1.5022590106563736</v>
      </c>
      <c r="N71" s="110">
        <f t="shared" si="11"/>
        <v>-0.35477202980075284</v>
      </c>
      <c r="Q71">
        <f>SUM($N$33:N71)</f>
        <v>7.5112950532818621</v>
      </c>
      <c r="R71">
        <f t="shared" si="13"/>
        <v>2.0370437194214048</v>
      </c>
    </row>
    <row r="72" spans="2:18" x14ac:dyDescent="0.25">
      <c r="B72">
        <v>40</v>
      </c>
      <c r="C72">
        <f t="shared" si="12"/>
        <v>1</v>
      </c>
      <c r="D72">
        <v>0</v>
      </c>
      <c r="E72">
        <v>0</v>
      </c>
      <c r="F72">
        <v>0</v>
      </c>
      <c r="H72">
        <f t="shared" si="15"/>
        <v>0.28933575594016492</v>
      </c>
      <c r="I72">
        <f t="shared" si="15"/>
        <v>0.23688808135327838</v>
      </c>
      <c r="J72">
        <f t="shared" si="15"/>
        <v>0.23688808135327838</v>
      </c>
      <c r="K72">
        <f t="shared" si="15"/>
        <v>0.23688808135327838</v>
      </c>
      <c r="M72">
        <f t="shared" si="10"/>
        <v>1.4401674799598645</v>
      </c>
      <c r="N72" s="110">
        <f t="shared" si="11"/>
        <v>-0.31045765348254539</v>
      </c>
      <c r="Q72">
        <f>SUM($N$33:N72)</f>
        <v>7.2008373997993171</v>
      </c>
      <c r="R72">
        <f t="shared" si="13"/>
        <v>1.0370437194214048</v>
      </c>
    </row>
    <row r="73" spans="2:18" x14ac:dyDescent="0.25">
      <c r="B73">
        <v>41</v>
      </c>
      <c r="C73">
        <f t="shared" si="12"/>
        <v>0</v>
      </c>
      <c r="D73">
        <v>0</v>
      </c>
      <c r="E73">
        <v>0</v>
      </c>
      <c r="F73">
        <v>0</v>
      </c>
      <c r="H73">
        <f t="shared" si="15"/>
        <v>0.25</v>
      </c>
      <c r="I73">
        <f t="shared" si="15"/>
        <v>0.25</v>
      </c>
      <c r="J73">
        <f t="shared" si="15"/>
        <v>0.25</v>
      </c>
      <c r="K73">
        <f t="shared" si="15"/>
        <v>0.25</v>
      </c>
      <c r="M73">
        <f t="shared" si="10"/>
        <v>1.3862943611198906</v>
      </c>
      <c r="N73" s="110">
        <f t="shared" si="11"/>
        <v>-0.26936559419986961</v>
      </c>
      <c r="Q73">
        <f>SUM($N$33:N73)</f>
        <v>6.9314718055994478</v>
      </c>
      <c r="R73">
        <f t="shared" si="13"/>
        <v>3.704371942140483E-2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2:BB89"/>
  <sheetViews>
    <sheetView topLeftCell="A34" zoomScale="115" zoomScaleNormal="115" workbookViewId="0">
      <selection activeCell="D41" sqref="D41"/>
    </sheetView>
  </sheetViews>
  <sheetFormatPr defaultRowHeight="15" x14ac:dyDescent="0.25"/>
  <cols>
    <col min="2" max="2" width="13.5703125" customWidth="1"/>
    <col min="3" max="3" width="6.85546875" customWidth="1"/>
    <col min="4" max="4" width="12.28515625" bestFit="1" customWidth="1"/>
    <col min="5" max="5" width="9.42578125" customWidth="1"/>
    <col min="6" max="6" width="15.42578125" style="33" customWidth="1"/>
    <col min="7" max="7" width="13.85546875" style="33" customWidth="1"/>
    <col min="8" max="8" width="10.85546875" style="33" bestFit="1" customWidth="1"/>
    <col min="9" max="9" width="14.42578125" style="33" bestFit="1" customWidth="1"/>
    <col min="10" max="10" width="13.42578125" style="33" bestFit="1" customWidth="1"/>
    <col min="11" max="11" width="9" style="33" customWidth="1"/>
    <col min="12" max="12" width="14.140625" customWidth="1"/>
    <col min="13" max="13" width="8.140625" customWidth="1"/>
    <col min="14" max="15" width="13.42578125" customWidth="1"/>
    <col min="16" max="19" width="15" customWidth="1"/>
    <col min="20" max="20" width="11.5703125" style="84" customWidth="1"/>
    <col min="21" max="22" width="15.42578125" customWidth="1"/>
    <col min="24" max="24" width="5.5703125" bestFit="1" customWidth="1"/>
    <col min="25" max="25" width="12.28515625" bestFit="1" customWidth="1"/>
    <col min="26" max="27" width="14.140625" customWidth="1"/>
    <col min="28" max="28" width="9.140625" customWidth="1"/>
    <col min="29" max="29" width="18.5703125" bestFit="1" customWidth="1"/>
    <col min="30" max="30" width="29.28515625" style="84" bestFit="1" customWidth="1"/>
    <col min="31" max="31" width="4.7109375" style="84" customWidth="1"/>
    <col min="32" max="32" width="9" style="84" customWidth="1"/>
    <col min="33" max="33" width="20" style="84" customWidth="1"/>
    <col min="34" max="34" width="9.140625" style="84" customWidth="1"/>
    <col min="35" max="35" width="5.5703125" style="84" bestFit="1" customWidth="1"/>
    <col min="36" max="36" width="12.28515625" style="84" bestFit="1" customWidth="1"/>
    <col min="37" max="37" width="11.85546875" bestFit="1" customWidth="1"/>
  </cols>
  <sheetData>
    <row r="2" spans="2:31" ht="36" x14ac:dyDescent="0.55000000000000004">
      <c r="C2" s="786" t="s">
        <v>349</v>
      </c>
      <c r="D2" s="786"/>
      <c r="H2" s="17"/>
      <c r="I2" s="17"/>
      <c r="J2" s="17"/>
      <c r="R2" s="33"/>
    </row>
    <row r="3" spans="2:31" x14ac:dyDescent="0.25">
      <c r="B3" s="7"/>
      <c r="C3" s="7"/>
      <c r="D3" s="7"/>
      <c r="E3" s="7"/>
      <c r="F3" s="17"/>
      <c r="G3" s="239"/>
      <c r="H3" s="189"/>
      <c r="I3" s="17"/>
      <c r="J3" s="17"/>
      <c r="K3"/>
      <c r="R3" s="33"/>
    </row>
    <row r="4" spans="2:31" x14ac:dyDescent="0.25">
      <c r="B4" s="7"/>
      <c r="C4" s="1564" t="s">
        <v>159</v>
      </c>
      <c r="D4" s="150" t="s">
        <v>4</v>
      </c>
      <c r="E4" s="264" t="s">
        <v>141</v>
      </c>
      <c r="F4" s="150"/>
      <c r="G4" s="264"/>
      <c r="H4" s="271"/>
      <c r="I4" s="259"/>
      <c r="J4" s="189"/>
      <c r="K4"/>
      <c r="P4" s="33"/>
      <c r="Q4" s="33"/>
      <c r="R4" s="33"/>
      <c r="AB4" s="7"/>
      <c r="AC4" s="7"/>
      <c r="AD4" s="866"/>
    </row>
    <row r="5" spans="2:31" x14ac:dyDescent="0.25">
      <c r="B5" s="7"/>
      <c r="C5" s="1565"/>
      <c r="D5" s="17" t="s">
        <v>130</v>
      </c>
      <c r="E5" s="17" t="s">
        <v>3</v>
      </c>
      <c r="F5" s="7"/>
      <c r="G5" s="17"/>
      <c r="H5" s="189"/>
      <c r="I5" s="239"/>
      <c r="J5" s="189"/>
      <c r="K5"/>
      <c r="P5" s="33"/>
      <c r="Q5" s="33"/>
      <c r="R5" s="33"/>
      <c r="AB5" s="7"/>
      <c r="AC5" s="310"/>
      <c r="AD5" s="787"/>
    </row>
    <row r="6" spans="2:31" x14ac:dyDescent="0.25">
      <c r="B6" s="7"/>
      <c r="C6" s="1566"/>
      <c r="D6" s="257" t="s">
        <v>131</v>
      </c>
      <c r="E6" s="257" t="s">
        <v>2</v>
      </c>
      <c r="F6" s="245"/>
      <c r="G6" s="257"/>
      <c r="H6" s="272"/>
      <c r="I6" s="260"/>
      <c r="J6" s="189"/>
      <c r="K6"/>
      <c r="P6" s="33"/>
      <c r="Q6" s="33"/>
      <c r="R6" s="33"/>
      <c r="AB6" s="7"/>
      <c r="AC6" s="7"/>
      <c r="AD6" s="866"/>
    </row>
    <row r="7" spans="2:31" ht="15.75" thickBot="1" x14ac:dyDescent="0.3">
      <c r="B7" s="7"/>
      <c r="C7" s="270"/>
      <c r="D7" s="17"/>
      <c r="E7" s="17"/>
      <c r="F7" s="7"/>
      <c r="G7" s="239"/>
      <c r="H7" s="189"/>
      <c r="I7" s="17"/>
      <c r="J7" s="189"/>
      <c r="K7"/>
      <c r="P7" s="33"/>
      <c r="Q7" s="33"/>
      <c r="R7" s="33"/>
      <c r="AB7" s="7"/>
      <c r="AC7" s="7"/>
      <c r="AD7" s="866"/>
    </row>
    <row r="8" spans="2:31" x14ac:dyDescent="0.25">
      <c r="B8" s="7"/>
      <c r="C8" s="1567" t="s">
        <v>148</v>
      </c>
      <c r="D8" s="273" t="s">
        <v>160</v>
      </c>
      <c r="E8" s="276" t="s">
        <v>161</v>
      </c>
      <c r="F8" s="251" t="s">
        <v>162</v>
      </c>
      <c r="G8" s="251"/>
      <c r="H8" s="178"/>
      <c r="I8" s="17"/>
      <c r="J8" s="189"/>
      <c r="K8"/>
      <c r="P8" s="33"/>
      <c r="Q8" s="33"/>
      <c r="R8" s="33"/>
      <c r="AB8" s="8"/>
      <c r="AC8" s="7"/>
      <c r="AD8" s="866"/>
    </row>
    <row r="9" spans="2:31" x14ac:dyDescent="0.25">
      <c r="B9" s="7"/>
      <c r="C9" s="1568"/>
      <c r="D9" s="17" t="s">
        <v>135</v>
      </c>
      <c r="E9" s="254">
        <v>2</v>
      </c>
      <c r="F9" s="17" t="s">
        <v>136</v>
      </c>
      <c r="G9" s="7"/>
      <c r="H9" s="277"/>
      <c r="I9" s="17"/>
      <c r="J9" s="189"/>
      <c r="K9"/>
      <c r="P9" s="33"/>
      <c r="Q9" s="33"/>
      <c r="R9" s="33"/>
      <c r="AC9" s="7"/>
      <c r="AD9" s="866"/>
      <c r="AE9" s="866"/>
    </row>
    <row r="10" spans="2:31" x14ac:dyDescent="0.25">
      <c r="B10" s="7"/>
      <c r="C10" s="1568"/>
      <c r="D10" s="17" t="s">
        <v>5</v>
      </c>
      <c r="E10" s="788">
        <f>S40/LN(EXP($G15/D40)+EXP($F15/D40))</f>
        <v>0.2</v>
      </c>
      <c r="F10" s="17" t="s">
        <v>139</v>
      </c>
      <c r="G10" s="7"/>
      <c r="H10" s="277"/>
      <c r="I10" s="17"/>
      <c r="J10" s="1674" t="s">
        <v>323</v>
      </c>
      <c r="K10" s="1674"/>
      <c r="L10" s="1674"/>
      <c r="P10" s="33"/>
      <c r="Q10" s="33"/>
      <c r="R10" s="33"/>
      <c r="AC10" s="7"/>
      <c r="AD10" s="866"/>
      <c r="AE10" s="866"/>
    </row>
    <row r="11" spans="2:31" ht="15.75" thickBot="1" x14ac:dyDescent="0.3">
      <c r="B11" s="7"/>
      <c r="C11" s="1569"/>
      <c r="D11" s="166" t="s">
        <v>137</v>
      </c>
      <c r="E11" s="275">
        <f>E10*LN(E9)</f>
        <v>0.13862943611198905</v>
      </c>
      <c r="F11" s="166" t="s">
        <v>138</v>
      </c>
      <c r="G11" s="166"/>
      <c r="H11" s="179"/>
      <c r="I11" s="17"/>
      <c r="J11" s="189"/>
      <c r="K11"/>
      <c r="P11" s="33"/>
      <c r="Q11" s="33"/>
      <c r="R11" s="33"/>
      <c r="AC11" s="7"/>
      <c r="AD11" s="866"/>
      <c r="AE11" s="866"/>
    </row>
    <row r="12" spans="2:31" s="7" customFormat="1" ht="12.75" customHeight="1" thickBot="1" x14ac:dyDescent="0.3">
      <c r="D12"/>
      <c r="E12"/>
      <c r="F12" s="33"/>
      <c r="G12" s="239"/>
      <c r="H12" s="33"/>
      <c r="I12" s="33"/>
      <c r="J12" s="33"/>
      <c r="K12" s="33"/>
      <c r="L12"/>
      <c r="M12" s="8"/>
      <c r="N12" s="8"/>
      <c r="O12" s="8"/>
      <c r="T12" s="866"/>
      <c r="U12" s="866"/>
      <c r="V12" s="866"/>
      <c r="W12" s="866"/>
      <c r="X12" s="866"/>
      <c r="Y12" s="866"/>
    </row>
    <row r="13" spans="2:31" s="7" customFormat="1" ht="33" customHeight="1" thickBot="1" x14ac:dyDescent="0.3">
      <c r="E13"/>
      <c r="F13" s="432" t="s">
        <v>12</v>
      </c>
      <c r="G13" s="435"/>
      <c r="H13" s="245"/>
      <c r="I13" s="245"/>
      <c r="J13" s="245"/>
      <c r="K13" s="245"/>
      <c r="L13" s="245"/>
      <c r="M13" s="245"/>
      <c r="P13" s="432" t="s">
        <v>13</v>
      </c>
      <c r="Q13" s="435"/>
      <c r="R13" s="789" t="s">
        <v>36</v>
      </c>
      <c r="S13" s="790" t="s">
        <v>1</v>
      </c>
      <c r="T13" s="866"/>
      <c r="U13" s="866"/>
      <c r="V13" s="866"/>
      <c r="W13" s="866"/>
      <c r="X13" s="866"/>
      <c r="Y13" s="866"/>
      <c r="Z13" s="1589"/>
      <c r="AA13" s="1589"/>
    </row>
    <row r="14" spans="2:31" s="7" customFormat="1" ht="15.75" thickBot="1" x14ac:dyDescent="0.3">
      <c r="B14" s="1675" t="s">
        <v>325</v>
      </c>
      <c r="D14" s="7" t="s">
        <v>5</v>
      </c>
      <c r="E14" s="115" t="s">
        <v>45</v>
      </c>
      <c r="F14" s="247" t="s">
        <v>130</v>
      </c>
      <c r="G14" s="248" t="s">
        <v>131</v>
      </c>
      <c r="H14" s="13"/>
      <c r="I14" s="13"/>
      <c r="J14" s="13"/>
      <c r="K14" s="13"/>
      <c r="L14" s="13"/>
      <c r="M14" s="13"/>
      <c r="N14" s="13"/>
      <c r="O14" s="13"/>
      <c r="P14" s="247" t="s">
        <v>130</v>
      </c>
      <c r="Q14" s="248" t="s">
        <v>131</v>
      </c>
      <c r="R14" s="791">
        <v>0</v>
      </c>
      <c r="S14" s="792"/>
      <c r="T14" s="866" t="s">
        <v>326</v>
      </c>
      <c r="U14" s="1672" t="s">
        <v>327</v>
      </c>
      <c r="V14" s="1673"/>
      <c r="W14" s="866"/>
      <c r="X14" s="143"/>
      <c r="Y14" s="866"/>
      <c r="AA14" s="8"/>
    </row>
    <row r="15" spans="2:31" s="7" customFormat="1" ht="18" customHeight="1" thickTop="1" x14ac:dyDescent="0.25">
      <c r="B15" s="1670"/>
      <c r="D15" s="793">
        <f>$E$10</f>
        <v>0.2</v>
      </c>
      <c r="E15" s="25">
        <v>1</v>
      </c>
      <c r="F15" s="316">
        <f t="shared" ref="F15:G30" si="0">F40</f>
        <v>5</v>
      </c>
      <c r="G15" s="794">
        <f t="shared" si="0"/>
        <v>5</v>
      </c>
      <c r="P15" s="326">
        <f t="shared" ref="P15:P30" si="1">EXP(F15/$D15)/(EXP($G15/$D15)+EXP($F15/$D15))</f>
        <v>0.5</v>
      </c>
      <c r="Q15" s="795">
        <f t="shared" ref="Q15:Q30" si="2">EXP(G15/$D15)/(EXP($G15/$D15)+EXP($F15/$D15))</f>
        <v>0.5</v>
      </c>
      <c r="R15" s="796">
        <f t="shared" ref="R15:R30" si="3">D15*LN(EXP($G15/D15)+EXP($F15/D15))</f>
        <v>5.13862943611199</v>
      </c>
      <c r="S15" s="797">
        <f t="shared" ref="S15:S30" si="4">(R15-R14)</f>
        <v>5.13862943611199</v>
      </c>
      <c r="T15" s="798">
        <f t="shared" ref="T15:T30" si="5">SUM(P15:Q15) - 1</f>
        <v>0</v>
      </c>
      <c r="U15" s="635">
        <f t="shared" ref="U15:V30" si="6">P15-($T15/2)</f>
        <v>0.5</v>
      </c>
      <c r="V15" s="636">
        <f t="shared" si="6"/>
        <v>0.5</v>
      </c>
      <c r="W15" s="866"/>
      <c r="X15" s="799"/>
      <c r="Y15" s="866"/>
    </row>
    <row r="16" spans="2:31" s="7" customFormat="1" x14ac:dyDescent="0.25">
      <c r="B16" s="1670"/>
      <c r="D16" s="7">
        <f t="shared" ref="D16:D30" si="7">$E$10</f>
        <v>0.2</v>
      </c>
      <c r="E16" s="25">
        <v>2</v>
      </c>
      <c r="F16" s="316">
        <f t="shared" si="0"/>
        <v>75</v>
      </c>
      <c r="G16" s="794">
        <f t="shared" si="0"/>
        <v>80</v>
      </c>
      <c r="P16" s="326">
        <f>EXP(F16/$D16)/(EXP($G16/$D16)+EXP($F16/$D16))</f>
        <v>1.3887943864771144E-11</v>
      </c>
      <c r="Q16" s="795">
        <f t="shared" si="2"/>
        <v>0.99999999998611211</v>
      </c>
      <c r="R16" s="796">
        <f t="shared" si="3"/>
        <v>80.000000000002785</v>
      </c>
      <c r="S16" s="410">
        <f t="shared" si="4"/>
        <v>74.861370563890802</v>
      </c>
      <c r="T16" s="798">
        <f t="shared" si="5"/>
        <v>0</v>
      </c>
      <c r="U16" s="635">
        <f t="shared" si="6"/>
        <v>1.3887943864771144E-11</v>
      </c>
      <c r="V16" s="636">
        <f t="shared" si="6"/>
        <v>0.99999999998611211</v>
      </c>
      <c r="W16" s="866"/>
      <c r="X16" s="799"/>
      <c r="Y16" s="866"/>
    </row>
    <row r="17" spans="2:25" s="7" customFormat="1" x14ac:dyDescent="0.25">
      <c r="B17" s="1670"/>
      <c r="D17" s="7">
        <f t="shared" si="7"/>
        <v>0.2</v>
      </c>
      <c r="E17" s="25">
        <v>3</v>
      </c>
      <c r="F17" s="316">
        <f t="shared" si="0"/>
        <v>77</v>
      </c>
      <c r="G17" s="794">
        <f t="shared" si="0"/>
        <v>90</v>
      </c>
      <c r="P17" s="326">
        <f t="shared" si="1"/>
        <v>5.9000905415970609E-29</v>
      </c>
      <c r="Q17" s="795">
        <f t="shared" si="2"/>
        <v>1</v>
      </c>
      <c r="R17" s="796">
        <f t="shared" si="3"/>
        <v>90</v>
      </c>
      <c r="S17" s="410">
        <f t="shared" si="4"/>
        <v>9.9999999999972147</v>
      </c>
      <c r="T17" s="798">
        <f t="shared" si="5"/>
        <v>0</v>
      </c>
      <c r="U17" s="635">
        <f t="shared" si="6"/>
        <v>5.9000905415970609E-29</v>
      </c>
      <c r="V17" s="636">
        <f t="shared" si="6"/>
        <v>1</v>
      </c>
      <c r="W17" s="866"/>
      <c r="X17" s="799"/>
      <c r="Y17" s="866"/>
    </row>
    <row r="18" spans="2:25" s="7" customFormat="1" x14ac:dyDescent="0.25">
      <c r="B18" s="1670"/>
      <c r="D18" s="7">
        <f t="shared" si="7"/>
        <v>0.2</v>
      </c>
      <c r="E18" s="25">
        <v>4</v>
      </c>
      <c r="F18" s="316">
        <f t="shared" si="0"/>
        <v>120</v>
      </c>
      <c r="G18" s="794">
        <f t="shared" si="0"/>
        <v>1000</v>
      </c>
      <c r="P18" s="326" t="e">
        <f>EXP(F18/$D18)/(EXP($G18/$D18)+EXP($F18/$D18))</f>
        <v>#NUM!</v>
      </c>
      <c r="Q18" s="795" t="e">
        <f t="shared" si="2"/>
        <v>#NUM!</v>
      </c>
      <c r="R18" s="796" t="e">
        <f t="shared" si="3"/>
        <v>#NUM!</v>
      </c>
      <c r="S18" s="410" t="e">
        <f t="shared" si="4"/>
        <v>#NUM!</v>
      </c>
      <c r="T18" s="798" t="e">
        <f t="shared" si="5"/>
        <v>#NUM!</v>
      </c>
      <c r="U18" s="635" t="e">
        <f t="shared" si="6"/>
        <v>#NUM!</v>
      </c>
      <c r="V18" s="636" t="e">
        <f t="shared" si="6"/>
        <v>#NUM!</v>
      </c>
      <c r="W18" s="866"/>
      <c r="X18" s="799"/>
      <c r="Y18" s="866"/>
    </row>
    <row r="19" spans="2:25" s="7" customFormat="1" x14ac:dyDescent="0.25">
      <c r="B19" s="1670"/>
      <c r="D19" s="7">
        <f t="shared" si="7"/>
        <v>0.2</v>
      </c>
      <c r="E19" s="25">
        <v>5</v>
      </c>
      <c r="F19" s="316">
        <f t="shared" si="0"/>
        <v>400</v>
      </c>
      <c r="G19" s="794">
        <f t="shared" si="0"/>
        <v>1000</v>
      </c>
      <c r="P19" s="326" t="e">
        <f t="shared" si="1"/>
        <v>#NUM!</v>
      </c>
      <c r="Q19" s="795" t="e">
        <f t="shared" si="2"/>
        <v>#NUM!</v>
      </c>
      <c r="R19" s="796" t="e">
        <f t="shared" si="3"/>
        <v>#NUM!</v>
      </c>
      <c r="S19" s="410" t="e">
        <f t="shared" si="4"/>
        <v>#NUM!</v>
      </c>
      <c r="T19" s="798" t="e">
        <f t="shared" si="5"/>
        <v>#NUM!</v>
      </c>
      <c r="U19" s="635" t="e">
        <f t="shared" si="6"/>
        <v>#NUM!</v>
      </c>
      <c r="V19" s="636" t="e">
        <f t="shared" si="6"/>
        <v>#NUM!</v>
      </c>
      <c r="W19" s="866"/>
      <c r="X19" s="799"/>
      <c r="Y19" s="866"/>
    </row>
    <row r="20" spans="2:25" s="7" customFormat="1" x14ac:dyDescent="0.25">
      <c r="B20" s="1670"/>
      <c r="D20" s="7">
        <f t="shared" si="7"/>
        <v>0.2</v>
      </c>
      <c r="E20" s="25">
        <v>6</v>
      </c>
      <c r="F20" s="316">
        <f t="shared" si="0"/>
        <v>800</v>
      </c>
      <c r="G20" s="794">
        <f t="shared" si="0"/>
        <v>1000</v>
      </c>
      <c r="P20" s="326" t="e">
        <f t="shared" si="1"/>
        <v>#NUM!</v>
      </c>
      <c r="Q20" s="795" t="e">
        <f t="shared" si="2"/>
        <v>#NUM!</v>
      </c>
      <c r="R20" s="796" t="e">
        <f t="shared" si="3"/>
        <v>#NUM!</v>
      </c>
      <c r="S20" s="410" t="e">
        <f t="shared" si="4"/>
        <v>#NUM!</v>
      </c>
      <c r="T20" s="798" t="e">
        <f t="shared" si="5"/>
        <v>#NUM!</v>
      </c>
      <c r="U20" s="635" t="e">
        <f t="shared" si="6"/>
        <v>#NUM!</v>
      </c>
      <c r="V20" s="636" t="e">
        <f t="shared" si="6"/>
        <v>#NUM!</v>
      </c>
      <c r="W20" s="866"/>
      <c r="X20" s="799"/>
      <c r="Y20" s="866"/>
    </row>
    <row r="21" spans="2:25" s="7" customFormat="1" x14ac:dyDescent="0.25">
      <c r="B21" s="1670"/>
      <c r="D21" s="7">
        <f t="shared" si="7"/>
        <v>0.2</v>
      </c>
      <c r="E21" s="25">
        <v>7</v>
      </c>
      <c r="F21" s="316">
        <f t="shared" si="0"/>
        <v>950</v>
      </c>
      <c r="G21" s="794">
        <f t="shared" si="0"/>
        <v>1000</v>
      </c>
      <c r="P21" s="326" t="e">
        <f>EXP(F21/$D21)/(EXP($G21/$D21)+EXP($F21/$D21))</f>
        <v>#NUM!</v>
      </c>
      <c r="Q21" s="795" t="e">
        <f t="shared" si="2"/>
        <v>#NUM!</v>
      </c>
      <c r="R21" s="796" t="e">
        <f t="shared" si="3"/>
        <v>#NUM!</v>
      </c>
      <c r="S21" s="410" t="e">
        <f t="shared" si="4"/>
        <v>#NUM!</v>
      </c>
      <c r="T21" s="798" t="e">
        <f t="shared" si="5"/>
        <v>#NUM!</v>
      </c>
      <c r="U21" s="635" t="e">
        <f t="shared" si="6"/>
        <v>#NUM!</v>
      </c>
      <c r="V21" s="636" t="e">
        <f t="shared" si="6"/>
        <v>#NUM!</v>
      </c>
      <c r="W21" s="866"/>
      <c r="X21" s="799"/>
      <c r="Y21" s="866"/>
    </row>
    <row r="22" spans="2:25" s="7" customFormat="1" x14ac:dyDescent="0.25">
      <c r="B22" s="1670"/>
      <c r="D22" s="7">
        <f t="shared" si="7"/>
        <v>0.2</v>
      </c>
      <c r="E22" s="25">
        <v>8</v>
      </c>
      <c r="F22" s="316">
        <f t="shared" si="0"/>
        <v>1000</v>
      </c>
      <c r="G22" s="794">
        <f t="shared" si="0"/>
        <v>1000</v>
      </c>
      <c r="P22" s="326" t="e">
        <f t="shared" si="1"/>
        <v>#NUM!</v>
      </c>
      <c r="Q22" s="795" t="e">
        <f t="shared" si="2"/>
        <v>#NUM!</v>
      </c>
      <c r="R22" s="796" t="e">
        <f t="shared" si="3"/>
        <v>#NUM!</v>
      </c>
      <c r="S22" s="410" t="e">
        <f t="shared" si="4"/>
        <v>#NUM!</v>
      </c>
      <c r="T22" s="798" t="e">
        <f t="shared" si="5"/>
        <v>#NUM!</v>
      </c>
      <c r="U22" s="635" t="e">
        <f t="shared" si="6"/>
        <v>#NUM!</v>
      </c>
      <c r="V22" s="636" t="e">
        <f t="shared" si="6"/>
        <v>#NUM!</v>
      </c>
      <c r="W22" s="866"/>
      <c r="X22" s="799"/>
      <c r="Y22" s="866"/>
    </row>
    <row r="23" spans="2:25" s="7" customFormat="1" x14ac:dyDescent="0.25">
      <c r="B23" s="1670"/>
      <c r="D23" s="7">
        <f t="shared" si="7"/>
        <v>0.2</v>
      </c>
      <c r="E23" s="25">
        <v>9</v>
      </c>
      <c r="F23" s="316">
        <f t="shared" si="0"/>
        <v>1004</v>
      </c>
      <c r="G23" s="794">
        <f t="shared" si="0"/>
        <v>1000</v>
      </c>
      <c r="P23" s="326" t="e">
        <f t="shared" si="1"/>
        <v>#NUM!</v>
      </c>
      <c r="Q23" s="795" t="e">
        <f t="shared" si="2"/>
        <v>#NUM!</v>
      </c>
      <c r="R23" s="796" t="e">
        <f t="shared" si="3"/>
        <v>#NUM!</v>
      </c>
      <c r="S23" s="410" t="e">
        <f t="shared" si="4"/>
        <v>#NUM!</v>
      </c>
      <c r="T23" s="798" t="e">
        <f t="shared" si="5"/>
        <v>#NUM!</v>
      </c>
      <c r="U23" s="635" t="e">
        <f t="shared" si="6"/>
        <v>#NUM!</v>
      </c>
      <c r="V23" s="636" t="e">
        <f t="shared" si="6"/>
        <v>#NUM!</v>
      </c>
      <c r="W23" s="866"/>
      <c r="X23" s="799"/>
      <c r="Y23" s="866"/>
    </row>
    <row r="24" spans="2:25" s="7" customFormat="1" x14ac:dyDescent="0.25">
      <c r="B24" s="1670"/>
      <c r="D24" s="7">
        <f t="shared" si="7"/>
        <v>0.2</v>
      </c>
      <c r="E24" s="25">
        <v>10</v>
      </c>
      <c r="F24" s="316">
        <f t="shared" si="0"/>
        <v>1000</v>
      </c>
      <c r="G24" s="794">
        <f t="shared" si="0"/>
        <v>997</v>
      </c>
      <c r="P24" s="326" t="e">
        <f t="shared" si="1"/>
        <v>#NUM!</v>
      </c>
      <c r="Q24" s="795" t="e">
        <f t="shared" si="2"/>
        <v>#NUM!</v>
      </c>
      <c r="R24" s="796" t="e">
        <f t="shared" si="3"/>
        <v>#NUM!</v>
      </c>
      <c r="S24" s="410" t="e">
        <f t="shared" si="4"/>
        <v>#NUM!</v>
      </c>
      <c r="T24" s="798" t="e">
        <f t="shared" si="5"/>
        <v>#NUM!</v>
      </c>
      <c r="U24" s="635" t="e">
        <f t="shared" si="6"/>
        <v>#NUM!</v>
      </c>
      <c r="V24" s="636" t="e">
        <f t="shared" si="6"/>
        <v>#NUM!</v>
      </c>
      <c r="W24" s="866"/>
      <c r="X24" s="799"/>
      <c r="Y24" s="866"/>
    </row>
    <row r="25" spans="2:25" s="7" customFormat="1" x14ac:dyDescent="0.25">
      <c r="B25" s="1670"/>
      <c r="D25" s="7">
        <f t="shared" si="7"/>
        <v>0.2</v>
      </c>
      <c r="E25" s="25">
        <v>11</v>
      </c>
      <c r="F25" s="316">
        <f t="shared" si="0"/>
        <v>1000</v>
      </c>
      <c r="G25" s="794">
        <f t="shared" si="0"/>
        <v>1000</v>
      </c>
      <c r="P25" s="326" t="e">
        <f t="shared" si="1"/>
        <v>#NUM!</v>
      </c>
      <c r="Q25" s="795" t="e">
        <f t="shared" si="2"/>
        <v>#NUM!</v>
      </c>
      <c r="R25" s="796" t="e">
        <f t="shared" si="3"/>
        <v>#NUM!</v>
      </c>
      <c r="S25" s="410" t="e">
        <f t="shared" si="4"/>
        <v>#NUM!</v>
      </c>
      <c r="T25" s="798" t="e">
        <f t="shared" si="5"/>
        <v>#NUM!</v>
      </c>
      <c r="U25" s="635" t="e">
        <f t="shared" si="6"/>
        <v>#NUM!</v>
      </c>
      <c r="V25" s="636" t="e">
        <f t="shared" si="6"/>
        <v>#NUM!</v>
      </c>
      <c r="W25" s="866"/>
      <c r="X25" s="799"/>
      <c r="Y25" s="866"/>
    </row>
    <row r="26" spans="2:25" s="7" customFormat="1" x14ac:dyDescent="0.25">
      <c r="B26" s="1670"/>
      <c r="D26" s="7">
        <f t="shared" si="7"/>
        <v>0.2</v>
      </c>
      <c r="E26" s="25">
        <v>12</v>
      </c>
      <c r="F26" s="316">
        <f t="shared" si="0"/>
        <v>100</v>
      </c>
      <c r="G26" s="794">
        <f t="shared" si="0"/>
        <v>100</v>
      </c>
      <c r="P26" s="326">
        <f t="shared" si="1"/>
        <v>0.5</v>
      </c>
      <c r="Q26" s="795">
        <f t="shared" si="2"/>
        <v>0.5</v>
      </c>
      <c r="R26" s="796">
        <f t="shared" si="3"/>
        <v>100.138629436112</v>
      </c>
      <c r="S26" s="410" t="e">
        <f t="shared" si="4"/>
        <v>#NUM!</v>
      </c>
      <c r="T26" s="798">
        <f t="shared" si="5"/>
        <v>0</v>
      </c>
      <c r="U26" s="635">
        <f t="shared" si="6"/>
        <v>0.5</v>
      </c>
      <c r="V26" s="636">
        <f t="shared" si="6"/>
        <v>0.5</v>
      </c>
      <c r="W26" s="866"/>
      <c r="X26" s="799"/>
      <c r="Y26" s="866"/>
    </row>
    <row r="27" spans="2:25" s="7" customFormat="1" x14ac:dyDescent="0.25">
      <c r="B27" s="1670"/>
      <c r="D27" s="7">
        <f t="shared" si="7"/>
        <v>0.2</v>
      </c>
      <c r="E27" s="25">
        <v>13</v>
      </c>
      <c r="F27" s="316">
        <f t="shared" si="0"/>
        <v>30</v>
      </c>
      <c r="G27" s="794">
        <f t="shared" si="0"/>
        <v>33</v>
      </c>
      <c r="P27" s="326">
        <f t="shared" si="1"/>
        <v>3.0590222692562477E-7</v>
      </c>
      <c r="Q27" s="795">
        <f t="shared" si="2"/>
        <v>0.99999969409777312</v>
      </c>
      <c r="R27" s="796">
        <f t="shared" si="3"/>
        <v>33.000000061180451</v>
      </c>
      <c r="S27" s="410">
        <f t="shared" si="4"/>
        <v>-67.138629374931554</v>
      </c>
      <c r="T27" s="798">
        <f t="shared" si="5"/>
        <v>0</v>
      </c>
      <c r="U27" s="635">
        <f t="shared" si="6"/>
        <v>3.0590222692562477E-7</v>
      </c>
      <c r="V27" s="636">
        <f t="shared" si="6"/>
        <v>0.99999969409777312</v>
      </c>
      <c r="W27" s="866"/>
      <c r="X27" s="799"/>
      <c r="Y27" s="866"/>
    </row>
    <row r="28" spans="2:25" s="7" customFormat="1" x14ac:dyDescent="0.25">
      <c r="B28" s="1670"/>
      <c r="D28" s="7">
        <f t="shared" si="7"/>
        <v>0.2</v>
      </c>
      <c r="E28" s="25">
        <v>14</v>
      </c>
      <c r="F28" s="316">
        <f t="shared" si="0"/>
        <v>30</v>
      </c>
      <c r="G28" s="794">
        <f t="shared" si="0"/>
        <v>34</v>
      </c>
      <c r="P28" s="326">
        <f t="shared" si="1"/>
        <v>2.0611536181902033E-9</v>
      </c>
      <c r="Q28" s="795">
        <f t="shared" si="2"/>
        <v>0.99999999793884642</v>
      </c>
      <c r="R28" s="796">
        <f t="shared" si="3"/>
        <v>34.000000000412228</v>
      </c>
      <c r="S28" s="410">
        <f t="shared" si="4"/>
        <v>0.99999993923177755</v>
      </c>
      <c r="T28" s="798">
        <f t="shared" si="5"/>
        <v>0</v>
      </c>
      <c r="U28" s="635">
        <f t="shared" si="6"/>
        <v>2.0611536181902033E-9</v>
      </c>
      <c r="V28" s="636">
        <f t="shared" si="6"/>
        <v>0.99999999793884642</v>
      </c>
      <c r="W28" s="866"/>
      <c r="X28" s="799"/>
      <c r="Y28" s="866"/>
    </row>
    <row r="29" spans="2:25" s="7" customFormat="1" x14ac:dyDescent="0.25">
      <c r="B29" s="1670"/>
      <c r="D29" s="7">
        <f t="shared" si="7"/>
        <v>0.2</v>
      </c>
      <c r="E29" s="25">
        <v>15</v>
      </c>
      <c r="F29" s="316">
        <f t="shared" si="0"/>
        <v>5</v>
      </c>
      <c r="G29" s="794">
        <f t="shared" si="0"/>
        <v>9</v>
      </c>
      <c r="P29" s="326">
        <f t="shared" si="1"/>
        <v>2.0611536181902037E-9</v>
      </c>
      <c r="Q29" s="795">
        <f t="shared" si="2"/>
        <v>0.99999999793884642</v>
      </c>
      <c r="R29" s="796">
        <f t="shared" si="3"/>
        <v>9.000000000412232</v>
      </c>
      <c r="S29" s="410">
        <f t="shared" si="4"/>
        <v>-24.999999999999996</v>
      </c>
      <c r="T29" s="798">
        <f t="shared" si="5"/>
        <v>0</v>
      </c>
      <c r="U29" s="635">
        <f t="shared" si="6"/>
        <v>2.0611536181902037E-9</v>
      </c>
      <c r="V29" s="636">
        <f t="shared" si="6"/>
        <v>0.99999999793884642</v>
      </c>
      <c r="W29" s="866"/>
      <c r="X29" s="799"/>
      <c r="Y29" s="866"/>
    </row>
    <row r="30" spans="2:25" s="7" customFormat="1" ht="15.75" thickBot="1" x14ac:dyDescent="0.3">
      <c r="B30" s="1670"/>
      <c r="D30" s="7">
        <f t="shared" si="7"/>
        <v>0.2</v>
      </c>
      <c r="E30" s="25">
        <v>16</v>
      </c>
      <c r="F30" s="318">
        <f t="shared" si="0"/>
        <v>5</v>
      </c>
      <c r="G30" s="807">
        <f t="shared" si="0"/>
        <v>8</v>
      </c>
      <c r="H30" s="13"/>
      <c r="I30" s="13"/>
      <c r="J30" s="13"/>
      <c r="K30" s="13"/>
      <c r="L30" s="13"/>
      <c r="M30" s="13"/>
      <c r="N30" s="13"/>
      <c r="O30" s="13"/>
      <c r="P30" s="328">
        <f t="shared" si="1"/>
        <v>3.0590222692562472E-7</v>
      </c>
      <c r="Q30" s="808">
        <f t="shared" si="2"/>
        <v>0.99999969409777312</v>
      </c>
      <c r="R30" s="791">
        <f t="shared" si="3"/>
        <v>8.0000000611804563</v>
      </c>
      <c r="S30" s="792">
        <f t="shared" si="4"/>
        <v>-0.99999993923177577</v>
      </c>
      <c r="T30" s="798">
        <f t="shared" si="5"/>
        <v>0</v>
      </c>
      <c r="U30" s="637">
        <f t="shared" si="6"/>
        <v>3.0590222692562472E-7</v>
      </c>
      <c r="V30" s="639">
        <f t="shared" si="6"/>
        <v>0.99999969409777312</v>
      </c>
      <c r="W30" s="866"/>
      <c r="X30" s="799"/>
      <c r="Y30" s="866"/>
    </row>
    <row r="31" spans="2:25" s="7" customFormat="1" ht="16.5" thickTop="1" thickBot="1" x14ac:dyDescent="0.3">
      <c r="B31" s="1671"/>
      <c r="E31" s="25" t="s">
        <v>97</v>
      </c>
      <c r="F31" s="320">
        <f>F56</f>
        <v>5</v>
      </c>
      <c r="G31" s="809">
        <f>G56</f>
        <v>8</v>
      </c>
      <c r="H31" s="810"/>
      <c r="I31" s="245"/>
      <c r="J31" s="245"/>
      <c r="K31" s="245"/>
      <c r="L31" s="245"/>
      <c r="M31" s="245"/>
      <c r="P31" s="469">
        <v>0</v>
      </c>
      <c r="Q31" s="471">
        <v>1</v>
      </c>
      <c r="R31" s="811">
        <f>$E$10*LN(EXP($G31/$E$10)+EXP($F31/$E$10))</f>
        <v>8.0000000611804563</v>
      </c>
      <c r="S31" s="143" t="s">
        <v>128</v>
      </c>
      <c r="T31" s="866"/>
    </row>
    <row r="32" spans="2:25" s="7" customFormat="1" x14ac:dyDescent="0.25">
      <c r="E32"/>
      <c r="F32" s="251"/>
      <c r="G32" s="251"/>
      <c r="P32" s="17"/>
      <c r="Q32" s="33"/>
      <c r="R32" s="812">
        <f>SUMPRODUCT(P31:Q31,F31:G31)</f>
        <v>8</v>
      </c>
      <c r="S32" t="s">
        <v>109</v>
      </c>
      <c r="T32" s="866"/>
    </row>
    <row r="33" spans="1:54" s="7" customFormat="1" x14ac:dyDescent="0.25">
      <c r="F33" s="17"/>
      <c r="G33" s="17"/>
      <c r="P33" s="17"/>
      <c r="Q33" s="17"/>
      <c r="R33" s="813">
        <f>R31-R32</f>
        <v>6.1180456256693105E-8</v>
      </c>
      <c r="S33" s="7" t="s">
        <v>102</v>
      </c>
      <c r="T33" s="866"/>
    </row>
    <row r="34" spans="1:54" s="7" customFormat="1" x14ac:dyDescent="0.25">
      <c r="F34" s="17"/>
      <c r="G34" s="17"/>
      <c r="H34" s="17"/>
      <c r="I34" s="17"/>
      <c r="J34" s="194"/>
      <c r="K34" s="54"/>
      <c r="L34" s="28"/>
      <c r="T34" s="866"/>
    </row>
    <row r="35" spans="1:54" x14ac:dyDescent="0.25">
      <c r="C35" s="7"/>
      <c r="D35" s="7"/>
      <c r="F35" s="17"/>
      <c r="G35" s="17"/>
      <c r="H35" s="17"/>
    </row>
    <row r="36" spans="1:54" x14ac:dyDescent="0.25">
      <c r="C36" s="7"/>
      <c r="D36" s="7"/>
      <c r="E36" s="7"/>
      <c r="F36" s="17"/>
      <c r="G36" s="17"/>
      <c r="H36" s="17"/>
      <c r="I36" s="17"/>
      <c r="J36" s="17"/>
      <c r="K36" s="17"/>
      <c r="L36" s="7"/>
      <c r="M36" s="7"/>
      <c r="N36" s="7"/>
      <c r="O36" s="7"/>
    </row>
    <row r="37" spans="1:54" s="33" customFormat="1" ht="15.75" thickBot="1" x14ac:dyDescent="0.3">
      <c r="A37"/>
      <c r="B37"/>
      <c r="C37" s="7"/>
      <c r="D37" s="7"/>
      <c r="E37" s="7"/>
      <c r="F37" s="7"/>
      <c r="G37" s="7"/>
      <c r="H37" s="7"/>
      <c r="I37" s="7"/>
      <c r="J37" s="7"/>
      <c r="K37" s="7"/>
      <c r="L37" s="7"/>
      <c r="M37" s="7"/>
      <c r="N37" s="7"/>
      <c r="O37" s="7"/>
      <c r="P37" s="7"/>
      <c r="Q37" s="7"/>
      <c r="R37" s="7"/>
      <c r="S37" s="7"/>
      <c r="T37" s="866"/>
      <c r="U37" s="866"/>
      <c r="V37" s="866"/>
      <c r="W37" s="866"/>
      <c r="X37" s="866"/>
      <c r="Y37" s="866"/>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row>
    <row r="38" spans="1:54" s="33" customFormat="1" ht="15.75" customHeight="1" thickBot="1" x14ac:dyDescent="0.3">
      <c r="A38"/>
      <c r="B38"/>
      <c r="C38" s="7"/>
      <c r="D38" s="7"/>
      <c r="E38"/>
      <c r="F38" s="432" t="s">
        <v>12</v>
      </c>
      <c r="G38" s="435"/>
      <c r="H38" s="424"/>
      <c r="I38" s="424"/>
      <c r="J38" s="424"/>
      <c r="K38" s="814"/>
      <c r="L38" s="814"/>
      <c r="M38" s="814"/>
      <c r="N38" s="867" t="s">
        <v>386</v>
      </c>
      <c r="O38" s="872" t="s">
        <v>387</v>
      </c>
      <c r="P38" s="432" t="s">
        <v>13</v>
      </c>
      <c r="Q38" s="424"/>
      <c r="R38" s="435" t="s">
        <v>36</v>
      </c>
      <c r="S38" s="815" t="s">
        <v>35</v>
      </c>
      <c r="T38" s="866"/>
      <c r="U38" s="866"/>
      <c r="V38" s="866"/>
      <c r="W38" s="866"/>
      <c r="X38" s="866"/>
      <c r="Y38" s="866"/>
      <c r="Z38" s="1589"/>
      <c r="AA38" s="1589"/>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row>
    <row r="39" spans="1:54" s="33" customFormat="1" ht="15.75" thickBot="1" x14ac:dyDescent="0.3">
      <c r="A39"/>
      <c r="B39" s="1669" t="s">
        <v>331</v>
      </c>
      <c r="C39" s="7" t="s">
        <v>4</v>
      </c>
      <c r="D39" s="7" t="s">
        <v>332</v>
      </c>
      <c r="E39" s="115" t="s">
        <v>45</v>
      </c>
      <c r="F39" s="247" t="s">
        <v>130</v>
      </c>
      <c r="G39" s="248" t="s">
        <v>131</v>
      </c>
      <c r="H39" s="816" t="s">
        <v>333</v>
      </c>
      <c r="I39" s="816" t="s">
        <v>334</v>
      </c>
      <c r="J39" s="816" t="s">
        <v>335</v>
      </c>
      <c r="K39" s="816" t="s">
        <v>336</v>
      </c>
      <c r="L39" s="816" t="s">
        <v>337</v>
      </c>
      <c r="M39" s="816" t="s">
        <v>338</v>
      </c>
      <c r="N39" s="868"/>
      <c r="O39" s="873"/>
      <c r="P39" s="247" t="s">
        <v>130</v>
      </c>
      <c r="Q39" s="173" t="s">
        <v>131</v>
      </c>
      <c r="R39" s="817">
        <v>0</v>
      </c>
      <c r="S39" s="818"/>
      <c r="T39" s="866" t="s">
        <v>326</v>
      </c>
      <c r="U39" s="1672" t="s">
        <v>327</v>
      </c>
      <c r="V39" s="1673"/>
      <c r="W39" s="866"/>
      <c r="X39" s="143"/>
      <c r="Y39" s="866"/>
      <c r="Z39" s="7"/>
      <c r="AA39" s="8"/>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row>
    <row r="40" spans="1:54" s="33" customFormat="1" ht="15.75" thickTop="1" x14ac:dyDescent="0.25">
      <c r="A40"/>
      <c r="B40" s="1670"/>
      <c r="C40" s="819">
        <v>0.02</v>
      </c>
      <c r="D40" s="793">
        <f>$C$40*H40</f>
        <v>0.2</v>
      </c>
      <c r="E40" s="25">
        <v>1</v>
      </c>
      <c r="F40" s="316">
        <v>5</v>
      </c>
      <c r="G40" s="794">
        <v>5</v>
      </c>
      <c r="H40" s="143">
        <f t="shared" ref="H40:H56" si="8">SUM(F40:G40)</f>
        <v>10</v>
      </c>
      <c r="I40" s="143">
        <f t="shared" ref="I40:I56" si="9">F40/D40</f>
        <v>25</v>
      </c>
      <c r="J40" s="143">
        <f t="shared" ref="J40:J56" si="10">G40/D40</f>
        <v>25</v>
      </c>
      <c r="K40" s="143">
        <f t="shared" ref="K40:L56" si="11">EXP(I40)</f>
        <v>72004899337.38588</v>
      </c>
      <c r="L40" s="143">
        <f t="shared" si="11"/>
        <v>72004899337.38588</v>
      </c>
      <c r="M40" s="143">
        <f t="shared" ref="M40:M56" si="12">SUM(K40:L40)</f>
        <v>144009798674.77176</v>
      </c>
      <c r="N40" s="870">
        <v>0.5</v>
      </c>
      <c r="O40" s="874">
        <f>U40</f>
        <v>0.5</v>
      </c>
      <c r="P40" s="820">
        <f t="shared" ref="P40:P55" si="13">( $C$40*LN($M40) ) + (($H40*K40) - SUMPRODUCT($F40:$G40,$K40:$L40))/($H40* $M40)</f>
        <v>0.513862943611199</v>
      </c>
      <c r="Q40" s="821">
        <f t="shared" ref="Q40:Q55" si="14">( $C$40*LN($M40) ) + (($H40*L40) - SUMPRODUCT($F40:$G40,$K40:$L40))/($H40* $M40)</f>
        <v>0.513862943611199</v>
      </c>
      <c r="R40" s="822">
        <f t="shared" ref="R40:R56" si="15">$D40*LN(EXP($G40/$D40)+EXP($F40/$D40))</f>
        <v>5.13862943611199</v>
      </c>
      <c r="S40" s="410">
        <f t="shared" ref="S40:S55" si="16">(R40-R39)</f>
        <v>5.13862943611199</v>
      </c>
      <c r="T40" s="798">
        <f>SUM(P40:Q40) - 1</f>
        <v>2.7725887222397994E-2</v>
      </c>
      <c r="U40" s="635">
        <f t="shared" ref="U40:U55" si="17">P40-($T40/2)</f>
        <v>0.5</v>
      </c>
      <c r="V40" s="636">
        <f t="shared" ref="V40:V55" si="18">Q40-($T40/2)</f>
        <v>0.5</v>
      </c>
      <c r="W40" s="866"/>
      <c r="X40" s="799"/>
      <c r="Y40" s="866"/>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row>
    <row r="41" spans="1:54" x14ac:dyDescent="0.25">
      <c r="B41" s="1670"/>
      <c r="C41" s="7"/>
      <c r="D41" s="7">
        <f t="shared" ref="D41:D56" si="19">$C$40*H41</f>
        <v>3.1</v>
      </c>
      <c r="E41" s="25">
        <v>2</v>
      </c>
      <c r="F41" s="316">
        <v>75</v>
      </c>
      <c r="G41" s="794">
        <v>80</v>
      </c>
      <c r="H41" s="143">
        <f t="shared" si="8"/>
        <v>155</v>
      </c>
      <c r="I41" s="143">
        <f t="shared" si="9"/>
        <v>24.193548387096772</v>
      </c>
      <c r="J41" s="143">
        <f t="shared" si="10"/>
        <v>25.806451612903224</v>
      </c>
      <c r="K41" s="143">
        <f t="shared" si="11"/>
        <v>32145823969.09565</v>
      </c>
      <c r="L41" s="143">
        <f t="shared" si="11"/>
        <v>161287062779.02615</v>
      </c>
      <c r="M41" s="143">
        <f t="shared" si="12"/>
        <v>193432886748.1218</v>
      </c>
      <c r="N41" s="870">
        <v>0.16618592892610989</v>
      </c>
      <c r="O41" s="874">
        <f t="shared" ref="O41:O55" si="20">U41</f>
        <v>0.16618592892610989</v>
      </c>
      <c r="P41" s="820">
        <f t="shared" si="13"/>
        <v>0.17518166209987401</v>
      </c>
      <c r="Q41" s="821">
        <f t="shared" si="14"/>
        <v>0.84280980424765417</v>
      </c>
      <c r="R41" s="822">
        <f t="shared" si="15"/>
        <v>80.563408997302872</v>
      </c>
      <c r="S41" s="410">
        <f t="shared" si="16"/>
        <v>75.424779561190888</v>
      </c>
      <c r="T41" s="798">
        <f t="shared" ref="T41:T55" si="21">SUM(P41:Q41) - 1</f>
        <v>1.799146634752824E-2</v>
      </c>
      <c r="U41" s="635">
        <f t="shared" si="17"/>
        <v>0.16618592892610989</v>
      </c>
      <c r="V41" s="636">
        <f t="shared" si="18"/>
        <v>0.83381407107389005</v>
      </c>
      <c r="W41" s="866"/>
      <c r="X41" s="799"/>
      <c r="Y41" s="866"/>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row>
    <row r="42" spans="1:54" x14ac:dyDescent="0.25">
      <c r="B42" s="1670"/>
      <c r="C42" s="7"/>
      <c r="D42" s="7">
        <f t="shared" si="19"/>
        <v>3.34</v>
      </c>
      <c r="E42" s="25">
        <v>3</v>
      </c>
      <c r="F42" s="316">
        <v>77</v>
      </c>
      <c r="G42" s="794">
        <v>90</v>
      </c>
      <c r="H42" s="143">
        <f t="shared" si="8"/>
        <v>167</v>
      </c>
      <c r="I42" s="143">
        <f t="shared" si="9"/>
        <v>23.053892215568862</v>
      </c>
      <c r="J42" s="143">
        <f t="shared" si="10"/>
        <v>26.946107784431138</v>
      </c>
      <c r="K42" s="143">
        <f t="shared" si="11"/>
        <v>10284381432.599691</v>
      </c>
      <c r="L42" s="143">
        <f t="shared" si="11"/>
        <v>504133920213.46686</v>
      </c>
      <c r="M42" s="143">
        <f t="shared" si="12"/>
        <v>514418301646.06653</v>
      </c>
      <c r="N42" s="870">
        <v>1.999225416298589E-2</v>
      </c>
      <c r="O42" s="874">
        <f t="shared" si="20"/>
        <v>1.999225416298589E-2</v>
      </c>
      <c r="P42" s="820">
        <f t="shared" si="13"/>
        <v>2.1952433489850987E-2</v>
      </c>
      <c r="Q42" s="821">
        <f t="shared" si="14"/>
        <v>0.98196792516387932</v>
      </c>
      <c r="R42" s="822">
        <f>$D42*LN(EXP($G42/$D42)+EXP($F42/$D42))</f>
        <v>90.067450643467666</v>
      </c>
      <c r="S42" s="410">
        <f t="shared" si="16"/>
        <v>9.5040416461647936</v>
      </c>
      <c r="T42" s="798">
        <f t="shared" si="21"/>
        <v>3.9203586537301938E-3</v>
      </c>
      <c r="U42" s="635">
        <f t="shared" si="17"/>
        <v>1.999225416298589E-2</v>
      </c>
      <c r="V42" s="636">
        <f t="shared" si="18"/>
        <v>0.98000774583701422</v>
      </c>
      <c r="W42" s="866"/>
      <c r="X42" s="799"/>
      <c r="Y42" s="866"/>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row>
    <row r="43" spans="1:54" x14ac:dyDescent="0.25">
      <c r="B43" s="1670"/>
      <c r="C43" s="7"/>
      <c r="D43" s="7">
        <f t="shared" si="19"/>
        <v>22.400000000000002</v>
      </c>
      <c r="E43" s="25">
        <v>4</v>
      </c>
      <c r="F43" s="316">
        <v>120</v>
      </c>
      <c r="G43" s="794">
        <v>1000</v>
      </c>
      <c r="H43" s="143">
        <f t="shared" si="8"/>
        <v>1120</v>
      </c>
      <c r="I43" s="143">
        <f t="shared" si="9"/>
        <v>5.3571428571428568</v>
      </c>
      <c r="J43" s="143">
        <f t="shared" si="10"/>
        <v>44.642857142857139</v>
      </c>
      <c r="K43" s="143">
        <f t="shared" si="11"/>
        <v>212.11802832702099</v>
      </c>
      <c r="L43" s="143">
        <f t="shared" si="11"/>
        <v>2.4442550072141074E+19</v>
      </c>
      <c r="M43" s="143">
        <f t="shared" si="12"/>
        <v>2.4442550072141074E+19</v>
      </c>
      <c r="N43" s="870">
        <v>0</v>
      </c>
      <c r="O43" s="874">
        <f t="shared" si="20"/>
        <v>0</v>
      </c>
      <c r="P43" s="820">
        <f t="shared" si="13"/>
        <v>0</v>
      </c>
      <c r="Q43" s="821">
        <f t="shared" si="14"/>
        <v>0.99999999999999989</v>
      </c>
      <c r="R43" s="822">
        <f t="shared" si="15"/>
        <v>1000</v>
      </c>
      <c r="S43" s="410">
        <f t="shared" si="16"/>
        <v>909.93254935653238</v>
      </c>
      <c r="T43" s="798">
        <f t="shared" si="21"/>
        <v>0</v>
      </c>
      <c r="U43" s="635">
        <f t="shared" si="17"/>
        <v>0</v>
      </c>
      <c r="V43" s="636">
        <f t="shared" si="18"/>
        <v>0.99999999999999989</v>
      </c>
      <c r="W43" s="866"/>
      <c r="X43" s="799"/>
      <c r="Y43" s="866"/>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row>
    <row r="44" spans="1:54" x14ac:dyDescent="0.25">
      <c r="B44" s="1670"/>
      <c r="C44" s="7"/>
      <c r="D44" s="7">
        <f t="shared" si="19"/>
        <v>28</v>
      </c>
      <c r="E44" s="25">
        <v>5</v>
      </c>
      <c r="F44" s="316">
        <v>400</v>
      </c>
      <c r="G44" s="794">
        <v>1000</v>
      </c>
      <c r="H44" s="143">
        <f t="shared" si="8"/>
        <v>1400</v>
      </c>
      <c r="I44" s="143">
        <f t="shared" si="9"/>
        <v>14.285714285714286</v>
      </c>
      <c r="J44" s="143">
        <f t="shared" si="10"/>
        <v>35.714285714285715</v>
      </c>
      <c r="K44" s="143">
        <f t="shared" si="11"/>
        <v>1600320.1896405087</v>
      </c>
      <c r="L44" s="143">
        <f t="shared" si="11"/>
        <v>3239792612846907.5</v>
      </c>
      <c r="M44" s="143">
        <f t="shared" si="12"/>
        <v>3239792614447227.5</v>
      </c>
      <c r="N44" s="870">
        <v>4.9395765255866309E-10</v>
      </c>
      <c r="O44" s="874">
        <f t="shared" si="20"/>
        <v>4.9395765255866309E-10</v>
      </c>
      <c r="P44" s="820">
        <f t="shared" si="13"/>
        <v>7.1553285518888288E-10</v>
      </c>
      <c r="Q44" s="821">
        <f t="shared" si="14"/>
        <v>0.99999999972761766</v>
      </c>
      <c r="R44" s="822">
        <f t="shared" si="15"/>
        <v>1000.0000000138308</v>
      </c>
      <c r="S44" s="410">
        <f t="shared" si="16"/>
        <v>1.3830799616698641E-8</v>
      </c>
      <c r="T44" s="798">
        <f t="shared" si="21"/>
        <v>4.4315040526043958E-10</v>
      </c>
      <c r="U44" s="635">
        <f t="shared" si="17"/>
        <v>4.9395765255866309E-10</v>
      </c>
      <c r="V44" s="636">
        <f t="shared" si="18"/>
        <v>0.99999999950604246</v>
      </c>
      <c r="W44" s="866"/>
      <c r="X44" s="799"/>
      <c r="Y44" s="866"/>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row>
    <row r="45" spans="1:54" x14ac:dyDescent="0.25">
      <c r="B45" s="1670"/>
      <c r="C45" s="7"/>
      <c r="D45" s="7">
        <f t="shared" si="19"/>
        <v>36</v>
      </c>
      <c r="E45" s="25">
        <v>6</v>
      </c>
      <c r="F45" s="316">
        <v>800</v>
      </c>
      <c r="G45" s="794">
        <v>1000</v>
      </c>
      <c r="H45" s="143">
        <f t="shared" si="8"/>
        <v>1800</v>
      </c>
      <c r="I45" s="143">
        <f t="shared" si="9"/>
        <v>22.222222222222221</v>
      </c>
      <c r="J45" s="143">
        <f t="shared" si="10"/>
        <v>27.777777777777779</v>
      </c>
      <c r="K45" s="143">
        <f t="shared" si="11"/>
        <v>4477014353.3610363</v>
      </c>
      <c r="L45" s="143">
        <f t="shared" si="11"/>
        <v>1158072125610.8438</v>
      </c>
      <c r="M45" s="143">
        <f t="shared" si="12"/>
        <v>1162549139964.2048</v>
      </c>
      <c r="N45" s="870">
        <v>3.8510323559302062E-3</v>
      </c>
      <c r="O45" s="874">
        <f t="shared" si="20"/>
        <v>3.8510323559302062E-3</v>
      </c>
      <c r="P45" s="820">
        <f t="shared" si="13"/>
        <v>4.3560941733966629E-3</v>
      </c>
      <c r="Q45" s="821">
        <f t="shared" si="14"/>
        <v>0.99665402946153614</v>
      </c>
      <c r="R45" s="822">
        <f t="shared" si="15"/>
        <v>1000.1389048002534</v>
      </c>
      <c r="S45" s="410">
        <f>(R45-R44)</f>
        <v>0.13890478642258586</v>
      </c>
      <c r="T45" s="798">
        <f t="shared" si="21"/>
        <v>1.0101236349329135E-3</v>
      </c>
      <c r="U45" s="635">
        <f t="shared" si="17"/>
        <v>3.8510323559302062E-3</v>
      </c>
      <c r="V45" s="636">
        <f t="shared" si="18"/>
        <v>0.99614896764406968</v>
      </c>
      <c r="W45" s="866"/>
      <c r="X45" s="799"/>
      <c r="Y45" s="866"/>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row>
    <row r="46" spans="1:54" x14ac:dyDescent="0.25">
      <c r="B46" s="1670"/>
      <c r="C46" s="7"/>
      <c r="D46" s="7">
        <f t="shared" si="19"/>
        <v>39</v>
      </c>
      <c r="E46" s="25">
        <v>7</v>
      </c>
      <c r="F46" s="316">
        <v>950</v>
      </c>
      <c r="G46" s="794">
        <v>1000</v>
      </c>
      <c r="H46" s="143">
        <f t="shared" si="8"/>
        <v>1950</v>
      </c>
      <c r="I46" s="143">
        <f t="shared" si="9"/>
        <v>24.358974358974358</v>
      </c>
      <c r="J46" s="143">
        <f t="shared" si="10"/>
        <v>25.641025641025642</v>
      </c>
      <c r="K46" s="143">
        <f t="shared" si="11"/>
        <v>37928716710.497704</v>
      </c>
      <c r="L46" s="143">
        <f t="shared" si="11"/>
        <v>136696044006.99583</v>
      </c>
      <c r="M46" s="143">
        <f t="shared" si="12"/>
        <v>174624760717.49353</v>
      </c>
      <c r="N46" s="870">
        <v>0.22</v>
      </c>
      <c r="O46" s="874">
        <f t="shared" si="20"/>
        <v>0.21720125230040233</v>
      </c>
      <c r="P46" s="820">
        <f t="shared" si="13"/>
        <v>0.22766810804454107</v>
      </c>
      <c r="Q46" s="821">
        <f t="shared" si="14"/>
        <v>0.79326560344373642</v>
      </c>
      <c r="R46" s="822">
        <f t="shared" si="15"/>
        <v>1009.5503060860506</v>
      </c>
      <c r="S46" s="410">
        <f>(R46-R45)</f>
        <v>9.4114012857971829</v>
      </c>
      <c r="T46" s="798">
        <f t="shared" si="21"/>
        <v>2.0933711488277496E-2</v>
      </c>
      <c r="U46" s="635">
        <f t="shared" si="17"/>
        <v>0.21720125230040233</v>
      </c>
      <c r="V46" s="636">
        <f t="shared" si="18"/>
        <v>0.78279874769959767</v>
      </c>
      <c r="W46" s="866"/>
      <c r="X46" s="799"/>
      <c r="Y46" s="866"/>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row>
    <row r="47" spans="1:54" x14ac:dyDescent="0.25">
      <c r="B47" s="1670"/>
      <c r="C47" s="7"/>
      <c r="D47" s="7">
        <f t="shared" si="19"/>
        <v>40</v>
      </c>
      <c r="E47" s="25">
        <v>8</v>
      </c>
      <c r="F47" s="316">
        <v>1000</v>
      </c>
      <c r="G47" s="794">
        <v>1000</v>
      </c>
      <c r="H47" s="143">
        <f t="shared" si="8"/>
        <v>2000</v>
      </c>
      <c r="I47" s="143">
        <f t="shared" si="9"/>
        <v>25</v>
      </c>
      <c r="J47" s="143">
        <f t="shared" si="10"/>
        <v>25</v>
      </c>
      <c r="K47" s="143">
        <f t="shared" si="11"/>
        <v>72004899337.38588</v>
      </c>
      <c r="L47" s="143">
        <f t="shared" si="11"/>
        <v>72004899337.38588</v>
      </c>
      <c r="M47" s="143">
        <f t="shared" si="12"/>
        <v>144009798674.77176</v>
      </c>
      <c r="N47" s="870">
        <v>0.5</v>
      </c>
      <c r="O47" s="874">
        <f t="shared" si="20"/>
        <v>0.5</v>
      </c>
      <c r="P47" s="820">
        <f t="shared" si="13"/>
        <v>0.513862943611199</v>
      </c>
      <c r="Q47" s="821">
        <f t="shared" si="14"/>
        <v>0.513862943611199</v>
      </c>
      <c r="R47" s="822">
        <f t="shared" si="15"/>
        <v>1027.7258872223979</v>
      </c>
      <c r="S47" s="410">
        <f>(R47-R46)</f>
        <v>18.175581136347319</v>
      </c>
      <c r="T47" s="798">
        <f t="shared" si="21"/>
        <v>2.7725887222397994E-2</v>
      </c>
      <c r="U47" s="635">
        <f t="shared" si="17"/>
        <v>0.5</v>
      </c>
      <c r="V47" s="636">
        <f t="shared" si="18"/>
        <v>0.5</v>
      </c>
      <c r="W47" s="866"/>
      <c r="X47" s="799"/>
      <c r="Y47" s="866"/>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row>
    <row r="48" spans="1:54" x14ac:dyDescent="0.25">
      <c r="B48" s="1670"/>
      <c r="C48" s="7"/>
      <c r="D48" s="7">
        <f t="shared" si="19"/>
        <v>40.08</v>
      </c>
      <c r="E48" s="25">
        <v>9</v>
      </c>
      <c r="F48" s="316">
        <v>1004</v>
      </c>
      <c r="G48" s="794">
        <v>1000</v>
      </c>
      <c r="H48" s="143">
        <f t="shared" si="8"/>
        <v>2004</v>
      </c>
      <c r="I48" s="143">
        <f t="shared" si="9"/>
        <v>25.049900199600799</v>
      </c>
      <c r="J48" s="143">
        <f t="shared" si="10"/>
        <v>24.950099800399201</v>
      </c>
      <c r="K48" s="143">
        <f t="shared" si="11"/>
        <v>75689115289.988922</v>
      </c>
      <c r="L48" s="143">
        <f t="shared" si="11"/>
        <v>68500014945.64743</v>
      </c>
      <c r="M48" s="143">
        <f t="shared" si="12"/>
        <v>144189130235.63635</v>
      </c>
      <c r="N48" s="870">
        <v>0.52</v>
      </c>
      <c r="O48" s="874">
        <f t="shared" si="20"/>
        <v>0.52492941157420447</v>
      </c>
      <c r="P48" s="820">
        <f t="shared" si="13"/>
        <v>0.53876748585317424</v>
      </c>
      <c r="Q48" s="821">
        <f t="shared" si="14"/>
        <v>0.4889086627047653</v>
      </c>
      <c r="R48" s="822">
        <f t="shared" si="15"/>
        <v>1029.8312185013522</v>
      </c>
      <c r="S48" s="410">
        <f t="shared" si="16"/>
        <v>2.1053312789542815</v>
      </c>
      <c r="T48" s="798">
        <f t="shared" si="21"/>
        <v>2.7676148557939539E-2</v>
      </c>
      <c r="U48" s="635">
        <f t="shared" si="17"/>
        <v>0.52492941157420447</v>
      </c>
      <c r="V48" s="636">
        <f t="shared" si="18"/>
        <v>0.47507058842579553</v>
      </c>
      <c r="W48" s="866"/>
      <c r="X48" s="799"/>
      <c r="Y48" s="866"/>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2:54" x14ac:dyDescent="0.25">
      <c r="B49" s="1670"/>
      <c r="C49" s="7"/>
      <c r="D49" s="7">
        <f t="shared" si="19"/>
        <v>39.94</v>
      </c>
      <c r="E49" s="25">
        <v>10</v>
      </c>
      <c r="F49" s="316">
        <v>1000</v>
      </c>
      <c r="G49" s="794">
        <v>997</v>
      </c>
      <c r="H49" s="143">
        <f t="shared" si="8"/>
        <v>1997</v>
      </c>
      <c r="I49" s="143">
        <f t="shared" si="9"/>
        <v>25.037556334501755</v>
      </c>
      <c r="J49" s="143">
        <f t="shared" si="10"/>
        <v>24.962443665498249</v>
      </c>
      <c r="K49" s="143">
        <f t="shared" si="11"/>
        <v>74760561821.117325</v>
      </c>
      <c r="L49" s="143">
        <f t="shared" si="11"/>
        <v>69350810136.937561</v>
      </c>
      <c r="M49" s="143">
        <f t="shared" si="12"/>
        <v>144111371958.05487</v>
      </c>
      <c r="N49" s="870">
        <v>0.52</v>
      </c>
      <c r="O49" s="874">
        <f t="shared" si="20"/>
        <v>0.51876934349689741</v>
      </c>
      <c r="P49" s="820">
        <f t="shared" si="13"/>
        <v>0.53261819226649698</v>
      </c>
      <c r="Q49" s="821">
        <f t="shared" si="14"/>
        <v>0.49507950527270217</v>
      </c>
      <c r="R49" s="822">
        <f t="shared" si="15"/>
        <v>1026.2124590233809</v>
      </c>
      <c r="S49" s="410">
        <f t="shared" si="16"/>
        <v>-3.6187594779712526</v>
      </c>
      <c r="T49" s="798">
        <f t="shared" si="21"/>
        <v>2.7697697539199151E-2</v>
      </c>
      <c r="U49" s="635">
        <f t="shared" si="17"/>
        <v>0.51876934349689741</v>
      </c>
      <c r="V49" s="636">
        <f t="shared" si="18"/>
        <v>0.48123065650310259</v>
      </c>
      <c r="W49" s="866"/>
      <c r="X49" s="799"/>
      <c r="Y49" s="866"/>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2:54" x14ac:dyDescent="0.25">
      <c r="B50" s="1670"/>
      <c r="C50" s="7"/>
      <c r="D50" s="7">
        <f t="shared" si="19"/>
        <v>40</v>
      </c>
      <c r="E50" s="25">
        <v>11</v>
      </c>
      <c r="F50" s="453">
        <v>1000</v>
      </c>
      <c r="G50" s="826">
        <v>1000</v>
      </c>
      <c r="H50" s="143">
        <f t="shared" si="8"/>
        <v>2000</v>
      </c>
      <c r="I50" s="143">
        <f t="shared" si="9"/>
        <v>25</v>
      </c>
      <c r="J50" s="143">
        <f t="shared" si="10"/>
        <v>25</v>
      </c>
      <c r="K50" s="143">
        <f t="shared" si="11"/>
        <v>72004899337.38588</v>
      </c>
      <c r="L50" s="143">
        <f t="shared" si="11"/>
        <v>72004899337.38588</v>
      </c>
      <c r="M50" s="143">
        <f t="shared" si="12"/>
        <v>144009798674.77176</v>
      </c>
      <c r="N50" s="870">
        <v>0.5</v>
      </c>
      <c r="O50" s="874">
        <f t="shared" si="20"/>
        <v>0.5</v>
      </c>
      <c r="P50" s="820">
        <f t="shared" si="13"/>
        <v>0.513862943611199</v>
      </c>
      <c r="Q50" s="821">
        <f t="shared" si="14"/>
        <v>0.513862943611199</v>
      </c>
      <c r="R50" s="822">
        <f t="shared" si="15"/>
        <v>1027.7258872223979</v>
      </c>
      <c r="S50" s="410">
        <f t="shared" si="16"/>
        <v>1.5134281990169711</v>
      </c>
      <c r="T50" s="798">
        <f t="shared" si="21"/>
        <v>2.7725887222397994E-2</v>
      </c>
      <c r="U50" s="635">
        <f t="shared" si="17"/>
        <v>0.5</v>
      </c>
      <c r="V50" s="636">
        <f t="shared" si="18"/>
        <v>0.5</v>
      </c>
      <c r="W50" s="866"/>
      <c r="X50" s="799"/>
      <c r="Y50" s="866"/>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row>
    <row r="51" spans="2:54" x14ac:dyDescent="0.25">
      <c r="B51" s="1670"/>
      <c r="C51" s="7"/>
      <c r="D51" s="7">
        <f t="shared" si="19"/>
        <v>4</v>
      </c>
      <c r="E51" s="25">
        <v>12</v>
      </c>
      <c r="F51" s="453">
        <v>100</v>
      </c>
      <c r="G51" s="826">
        <v>100</v>
      </c>
      <c r="H51" s="143">
        <f t="shared" si="8"/>
        <v>200</v>
      </c>
      <c r="I51" s="143">
        <f t="shared" si="9"/>
        <v>25</v>
      </c>
      <c r="J51" s="143">
        <f t="shared" si="10"/>
        <v>25</v>
      </c>
      <c r="K51" s="143">
        <f t="shared" si="11"/>
        <v>72004899337.38588</v>
      </c>
      <c r="L51" s="143">
        <f t="shared" si="11"/>
        <v>72004899337.38588</v>
      </c>
      <c r="M51" s="143">
        <f t="shared" si="12"/>
        <v>144009798674.77176</v>
      </c>
      <c r="N51" s="870">
        <v>0.5</v>
      </c>
      <c r="O51" s="874">
        <f t="shared" si="20"/>
        <v>0.5</v>
      </c>
      <c r="P51" s="820">
        <f t="shared" si="13"/>
        <v>0.513862943611199</v>
      </c>
      <c r="Q51" s="821">
        <f t="shared" si="14"/>
        <v>0.513862943611199</v>
      </c>
      <c r="R51" s="822">
        <f t="shared" si="15"/>
        <v>102.77258872223979</v>
      </c>
      <c r="S51" s="410">
        <f t="shared" si="16"/>
        <v>-924.9532985001581</v>
      </c>
      <c r="T51" s="798">
        <f t="shared" si="21"/>
        <v>2.7725887222397994E-2</v>
      </c>
      <c r="U51" s="635">
        <f t="shared" si="17"/>
        <v>0.5</v>
      </c>
      <c r="V51" s="636">
        <f t="shared" si="18"/>
        <v>0.5</v>
      </c>
      <c r="W51" s="866"/>
      <c r="X51" s="799"/>
      <c r="Y51" s="866"/>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row>
    <row r="52" spans="2:54" x14ac:dyDescent="0.25">
      <c r="B52" s="1670"/>
      <c r="C52" s="7"/>
      <c r="D52" s="7">
        <f t="shared" si="19"/>
        <v>1.26</v>
      </c>
      <c r="E52" s="25">
        <v>13</v>
      </c>
      <c r="F52" s="453">
        <v>30</v>
      </c>
      <c r="G52" s="826">
        <v>33</v>
      </c>
      <c r="H52" s="143">
        <f t="shared" si="8"/>
        <v>63</v>
      </c>
      <c r="I52" s="143">
        <f t="shared" si="9"/>
        <v>23.80952380952381</v>
      </c>
      <c r="J52" s="143">
        <f t="shared" si="10"/>
        <v>26.19047619047619</v>
      </c>
      <c r="K52" s="143">
        <f t="shared" si="11"/>
        <v>21894992825.535973</v>
      </c>
      <c r="L52" s="143">
        <f t="shared" si="11"/>
        <v>236798685886.76529</v>
      </c>
      <c r="M52" s="143">
        <f t="shared" si="12"/>
        <v>258693678712.30127</v>
      </c>
      <c r="N52" s="870">
        <v>8.4636752372623192E-2</v>
      </c>
      <c r="O52" s="874">
        <f t="shared" si="20"/>
        <v>8.4636752372623192E-2</v>
      </c>
      <c r="P52" s="820">
        <f t="shared" si="13"/>
        <v>9.0435759925068193E-2</v>
      </c>
      <c r="Q52" s="821">
        <f t="shared" si="14"/>
        <v>0.92116225517982175</v>
      </c>
      <c r="R52" s="822">
        <f t="shared" si="15"/>
        <v>33.111427218686174</v>
      </c>
      <c r="S52" s="410">
        <f t="shared" si="16"/>
        <v>-69.661161503553615</v>
      </c>
      <c r="T52" s="798">
        <f t="shared" si="21"/>
        <v>1.1598015104890003E-2</v>
      </c>
      <c r="U52" s="635">
        <f t="shared" si="17"/>
        <v>8.4636752372623192E-2</v>
      </c>
      <c r="V52" s="636">
        <f t="shared" si="18"/>
        <v>0.91536324762737675</v>
      </c>
      <c r="W52" s="866"/>
      <c r="X52" s="799"/>
      <c r="Y52" s="866"/>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row>
    <row r="53" spans="2:54" x14ac:dyDescent="0.25">
      <c r="B53" s="1670"/>
      <c r="C53" s="7"/>
      <c r="D53" s="7">
        <f t="shared" si="19"/>
        <v>1.28</v>
      </c>
      <c r="E53" s="25">
        <v>14</v>
      </c>
      <c r="F53" s="453">
        <v>30</v>
      </c>
      <c r="G53" s="826">
        <v>34</v>
      </c>
      <c r="H53" s="143">
        <f t="shared" si="8"/>
        <v>64</v>
      </c>
      <c r="I53" s="143">
        <f t="shared" si="9"/>
        <v>23.4375</v>
      </c>
      <c r="J53" s="143">
        <f t="shared" si="10"/>
        <v>26.5625</v>
      </c>
      <c r="K53" s="143">
        <f t="shared" si="11"/>
        <v>15093046831.784616</v>
      </c>
      <c r="L53" s="143">
        <f t="shared" si="11"/>
        <v>343516162533.10382</v>
      </c>
      <c r="M53" s="143">
        <f t="shared" si="12"/>
        <v>358609209364.88843</v>
      </c>
      <c r="N53" s="870">
        <v>4.2087727915618878E-2</v>
      </c>
      <c r="O53" s="874">
        <f t="shared" si="20"/>
        <v>4.2087727915618878E-2</v>
      </c>
      <c r="P53" s="820">
        <f t="shared" si="13"/>
        <v>4.5578192494926784E-2</v>
      </c>
      <c r="Q53" s="821">
        <f t="shared" si="14"/>
        <v>0.96140273666368914</v>
      </c>
      <c r="R53" s="822">
        <f t="shared" si="15"/>
        <v>34.055038821413234</v>
      </c>
      <c r="S53" s="410">
        <f t="shared" si="16"/>
        <v>0.94361160272706002</v>
      </c>
      <c r="T53" s="798">
        <f t="shared" si="21"/>
        <v>6.9809291586158118E-3</v>
      </c>
      <c r="U53" s="635">
        <f t="shared" si="17"/>
        <v>4.2087727915618878E-2</v>
      </c>
      <c r="V53" s="636">
        <f t="shared" si="18"/>
        <v>0.95791227208438123</v>
      </c>
      <c r="W53" s="866"/>
      <c r="X53" s="799"/>
      <c r="Y53" s="866"/>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2:54" x14ac:dyDescent="0.25">
      <c r="B54" s="1670"/>
      <c r="C54" s="7"/>
      <c r="D54" s="7">
        <f t="shared" si="19"/>
        <v>0.28000000000000003</v>
      </c>
      <c r="E54" s="25">
        <v>15</v>
      </c>
      <c r="F54" s="453">
        <v>5</v>
      </c>
      <c r="G54" s="826">
        <v>9</v>
      </c>
      <c r="H54" s="143">
        <f t="shared" si="8"/>
        <v>14</v>
      </c>
      <c r="I54" s="143">
        <f t="shared" si="9"/>
        <v>17.857142857142854</v>
      </c>
      <c r="J54" s="143">
        <f t="shared" si="10"/>
        <v>32.142857142857139</v>
      </c>
      <c r="K54" s="143">
        <f t="shared" si="11"/>
        <v>56919176.143430643</v>
      </c>
      <c r="L54" s="143">
        <f t="shared" si="11"/>
        <v>91088906760036.281</v>
      </c>
      <c r="M54" s="143">
        <f t="shared" si="12"/>
        <v>91088963679212.422</v>
      </c>
      <c r="N54" s="870">
        <v>6.2487456053972323E-7</v>
      </c>
      <c r="O54" s="874">
        <f t="shared" si="20"/>
        <v>6.2487456053972323E-7</v>
      </c>
      <c r="P54" s="820">
        <f t="shared" si="13"/>
        <v>8.1590764433592256E-7</v>
      </c>
      <c r="Q54" s="821">
        <f t="shared" si="14"/>
        <v>0.99999956615852337</v>
      </c>
      <c r="R54" s="822">
        <f t="shared" si="15"/>
        <v>9.0000001749649314</v>
      </c>
      <c r="S54" s="410">
        <f t="shared" si="16"/>
        <v>-25.055038646448303</v>
      </c>
      <c r="T54" s="798">
        <f t="shared" si="21"/>
        <v>3.8206616759239864E-7</v>
      </c>
      <c r="U54" s="635">
        <f t="shared" si="17"/>
        <v>6.2487456053972323E-7</v>
      </c>
      <c r="V54" s="636">
        <f t="shared" si="18"/>
        <v>0.99999937512543957</v>
      </c>
      <c r="W54" s="866"/>
      <c r="X54" s="799"/>
      <c r="Y54" s="866"/>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row>
    <row r="55" spans="2:54" ht="15.75" thickBot="1" x14ac:dyDescent="0.3">
      <c r="B55" s="1670"/>
      <c r="C55" s="7"/>
      <c r="D55" s="7">
        <f t="shared" si="19"/>
        <v>0.26</v>
      </c>
      <c r="E55" s="25">
        <v>16</v>
      </c>
      <c r="F55" s="247">
        <v>5</v>
      </c>
      <c r="G55" s="248">
        <v>8</v>
      </c>
      <c r="H55" s="816">
        <f t="shared" si="8"/>
        <v>13</v>
      </c>
      <c r="I55" s="816">
        <f t="shared" si="9"/>
        <v>19.23076923076923</v>
      </c>
      <c r="J55" s="816">
        <f t="shared" si="10"/>
        <v>30.769230769230766</v>
      </c>
      <c r="K55" s="816">
        <f t="shared" si="11"/>
        <v>224810690.56995425</v>
      </c>
      <c r="L55" s="816">
        <f t="shared" si="11"/>
        <v>23062539932787.277</v>
      </c>
      <c r="M55" s="816">
        <f t="shared" si="12"/>
        <v>23062764743477.848</v>
      </c>
      <c r="N55" s="871">
        <v>9.7477771233700494E-6</v>
      </c>
      <c r="O55" s="875">
        <f t="shared" si="20"/>
        <v>9.7477771233700494E-6</v>
      </c>
      <c r="P55" s="827">
        <f t="shared" si="13"/>
        <v>1.2192220644524632E-5</v>
      </c>
      <c r="Q55" s="828">
        <f t="shared" si="14"/>
        <v>0.99999269666639778</v>
      </c>
      <c r="R55" s="829">
        <f t="shared" si="15"/>
        <v>8.0000025344344046</v>
      </c>
      <c r="S55" s="792">
        <f t="shared" si="16"/>
        <v>-0.99999764053052687</v>
      </c>
      <c r="T55" s="798">
        <f t="shared" si="21"/>
        <v>4.8888870423091646E-6</v>
      </c>
      <c r="U55" s="637">
        <f t="shared" si="17"/>
        <v>9.7477771233700494E-6</v>
      </c>
      <c r="V55" s="639">
        <f t="shared" si="18"/>
        <v>0.99999025222287663</v>
      </c>
      <c r="W55" s="866"/>
      <c r="X55" s="799"/>
      <c r="Y55" s="866"/>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2:54" ht="16.5" thickTop="1" thickBot="1" x14ac:dyDescent="0.3">
      <c r="B56" s="1671"/>
      <c r="C56" s="7"/>
      <c r="D56" s="7">
        <f t="shared" si="19"/>
        <v>0.26</v>
      </c>
      <c r="E56" s="25" t="s">
        <v>97</v>
      </c>
      <c r="F56" s="376">
        <v>5</v>
      </c>
      <c r="G56" s="373">
        <v>8</v>
      </c>
      <c r="H56" s="830">
        <f t="shared" si="8"/>
        <v>13</v>
      </c>
      <c r="I56" s="830">
        <f t="shared" si="9"/>
        <v>19.23076923076923</v>
      </c>
      <c r="J56" s="830">
        <f t="shared" si="10"/>
        <v>30.769230769230766</v>
      </c>
      <c r="K56" s="830">
        <f t="shared" si="11"/>
        <v>224810690.56995425</v>
      </c>
      <c r="L56" s="830">
        <f t="shared" si="11"/>
        <v>23062539932787.277</v>
      </c>
      <c r="M56" s="830">
        <f t="shared" si="12"/>
        <v>23062764743477.848</v>
      </c>
      <c r="N56" s="869"/>
      <c r="O56" s="876"/>
      <c r="P56" s="469">
        <v>0</v>
      </c>
      <c r="Q56" s="471">
        <v>1</v>
      </c>
      <c r="R56" s="831">
        <f t="shared" si="15"/>
        <v>8.0000025344344046</v>
      </c>
      <c r="S56" s="647" t="s">
        <v>128</v>
      </c>
      <c r="T56" s="866"/>
      <c r="U56" s="866"/>
      <c r="V56" s="866"/>
      <c r="W56" s="866"/>
      <c r="X56" s="866"/>
      <c r="Y56" s="866"/>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row>
    <row r="57" spans="2:54" x14ac:dyDescent="0.25">
      <c r="C57" s="7"/>
      <c r="D57" s="7"/>
      <c r="F57" s="17"/>
      <c r="G57" s="239"/>
      <c r="H57" s="140"/>
      <c r="I57" s="140"/>
      <c r="J57" s="140"/>
      <c r="K57" s="140"/>
      <c r="L57" s="140"/>
      <c r="M57" s="140"/>
      <c r="N57" s="140"/>
      <c r="O57" s="140"/>
      <c r="P57" s="17"/>
      <c r="Q57" s="33"/>
      <c r="R57" s="812">
        <f>SUMPRODUCT(P56:Q56,F56:G56)</f>
        <v>8</v>
      </c>
      <c r="S57" s="26" t="s">
        <v>109</v>
      </c>
      <c r="T57" s="866"/>
      <c r="U57" s="866"/>
      <c r="V57" s="866"/>
      <c r="W57" s="866"/>
      <c r="X57" s="866"/>
      <c r="Y57" s="866"/>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row>
    <row r="58" spans="2:54" x14ac:dyDescent="0.25">
      <c r="C58" s="7"/>
      <c r="D58" s="7"/>
      <c r="E58" s="7"/>
      <c r="F58" s="17"/>
      <c r="G58" s="239"/>
      <c r="H58" s="140"/>
      <c r="I58" s="140"/>
      <c r="J58" s="140"/>
      <c r="K58" s="140"/>
      <c r="L58" s="140"/>
      <c r="M58" s="140"/>
      <c r="N58" s="140"/>
      <c r="O58" s="140"/>
      <c r="P58" s="17"/>
      <c r="Q58" s="17"/>
      <c r="R58" s="813">
        <f>R56-R57</f>
        <v>2.5344344045663547E-6</v>
      </c>
      <c r="S58" s="189" t="s">
        <v>102</v>
      </c>
      <c r="T58" s="866"/>
      <c r="U58" s="866"/>
      <c r="V58" s="866"/>
      <c r="W58" s="866"/>
      <c r="X58" s="866"/>
      <c r="Y58" s="866"/>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row>
    <row r="59" spans="2:54" x14ac:dyDescent="0.25">
      <c r="C59" s="7"/>
      <c r="D59" s="7"/>
      <c r="E59" s="7"/>
      <c r="F59" s="7"/>
      <c r="G59" s="7"/>
      <c r="H59" s="7"/>
      <c r="I59" s="7"/>
      <c r="J59" s="7"/>
      <c r="K59" s="7"/>
      <c r="L59" s="7"/>
      <c r="M59" s="7"/>
      <c r="N59" s="7"/>
      <c r="O59" s="7"/>
      <c r="P59" s="7"/>
      <c r="Q59" s="7"/>
      <c r="R59" s="7"/>
      <c r="S59" s="7"/>
      <c r="T59" s="866"/>
      <c r="U59" s="866"/>
      <c r="V59" s="866"/>
      <c r="W59" s="866"/>
      <c r="X59" s="866"/>
      <c r="Y59" s="866"/>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row>
    <row r="60" spans="2:54" x14ac:dyDescent="0.25">
      <c r="C60" s="832" t="s">
        <v>339</v>
      </c>
      <c r="F60"/>
      <c r="G60"/>
      <c r="H60"/>
      <c r="I60"/>
      <c r="J60"/>
      <c r="K60"/>
      <c r="T60" s="866"/>
      <c r="U60" s="866"/>
      <c r="V60" s="866"/>
      <c r="W60" s="84"/>
      <c r="X60" s="84"/>
      <c r="Y60" s="84"/>
      <c r="AD60"/>
      <c r="AE60"/>
      <c r="AF60"/>
      <c r="AG60"/>
      <c r="AH60"/>
      <c r="AI60"/>
      <c r="AJ60"/>
    </row>
    <row r="61" spans="2:54" x14ac:dyDescent="0.25">
      <c r="C61" t="s">
        <v>340</v>
      </c>
      <c r="E61" s="7"/>
      <c r="F61" s="7"/>
      <c r="G61" s="7"/>
      <c r="H61" s="7"/>
      <c r="I61" s="7"/>
      <c r="J61" s="7"/>
      <c r="K61" s="7"/>
      <c r="L61" s="7"/>
      <c r="M61" s="7"/>
      <c r="N61" s="7"/>
      <c r="O61" s="7"/>
      <c r="P61" s="7"/>
      <c r="Q61" s="7"/>
      <c r="R61" s="7"/>
      <c r="S61" s="7"/>
      <c r="T61" s="866"/>
      <c r="U61" s="866"/>
      <c r="V61" s="84"/>
      <c r="W61" s="84"/>
      <c r="X61" s="84"/>
      <c r="Y61" s="84"/>
      <c r="AD61"/>
      <c r="AE61"/>
      <c r="AF61"/>
      <c r="AG61"/>
      <c r="AH61"/>
      <c r="AI61"/>
      <c r="AJ61"/>
    </row>
    <row r="62" spans="2:54" x14ac:dyDescent="0.25">
      <c r="F62" s="832"/>
      <c r="G62"/>
      <c r="H62"/>
      <c r="I62"/>
      <c r="J62"/>
      <c r="K62"/>
      <c r="U62" s="84"/>
      <c r="V62" s="84"/>
      <c r="W62" s="84"/>
      <c r="X62" s="84"/>
      <c r="Y62" s="84"/>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row>
    <row r="63" spans="2:54" x14ac:dyDescent="0.25">
      <c r="C63" s="25" t="s">
        <v>341</v>
      </c>
      <c r="D63" s="33" t="s">
        <v>304</v>
      </c>
      <c r="E63" s="33"/>
      <c r="G63"/>
      <c r="H63"/>
      <c r="I63"/>
      <c r="J63"/>
      <c r="K63"/>
      <c r="U63" s="84"/>
      <c r="V63" s="84"/>
      <c r="W63" s="84"/>
      <c r="X63" s="84"/>
      <c r="Y63" s="84"/>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row>
    <row r="64" spans="2:54" x14ac:dyDescent="0.25">
      <c r="C64" s="833">
        <v>0.05</v>
      </c>
      <c r="D64">
        <f>C64 / (2 *LN(2))</f>
        <v>3.6067376022224089E-2</v>
      </c>
      <c r="G64"/>
      <c r="H64"/>
      <c r="I64"/>
      <c r="J64"/>
      <c r="K64"/>
      <c r="U64" s="84"/>
      <c r="V64" s="84"/>
      <c r="W64" s="84"/>
      <c r="X64" s="84"/>
      <c r="Y64" s="84"/>
      <c r="AC64" s="833"/>
      <c r="AD64" s="833"/>
      <c r="AE64" s="833"/>
      <c r="AF64" s="833"/>
      <c r="AG64" s="833"/>
      <c r="AH64" s="33"/>
      <c r="AI64" s="33"/>
      <c r="AJ64" s="33"/>
      <c r="AK64" s="33"/>
      <c r="AL64" s="33"/>
      <c r="AM64" s="33"/>
      <c r="AN64" s="33"/>
      <c r="AO64" s="33"/>
      <c r="AP64" s="33"/>
      <c r="AQ64" s="33"/>
      <c r="AR64" s="33"/>
      <c r="AS64" s="33"/>
      <c r="AT64" s="33"/>
      <c r="AU64" s="33"/>
      <c r="AV64" s="33"/>
      <c r="AW64" s="33"/>
      <c r="AX64" s="33"/>
      <c r="AY64" s="33"/>
      <c r="AZ64" s="33"/>
      <c r="BA64" s="33"/>
      <c r="BB64" s="33"/>
    </row>
    <row r="65" spans="3:54" x14ac:dyDescent="0.25">
      <c r="C65" s="833">
        <v>0.2</v>
      </c>
      <c r="D65">
        <f>C65 / (2 *LN(2))</f>
        <v>0.14426950408889636</v>
      </c>
      <c r="G65"/>
      <c r="H65"/>
      <c r="I65"/>
      <c r="J65"/>
      <c r="K65"/>
      <c r="U65" s="84"/>
      <c r="V65" s="84"/>
      <c r="W65" s="84"/>
      <c r="X65" s="84"/>
      <c r="Y65" s="84"/>
      <c r="AH65" s="33"/>
      <c r="AI65" s="33"/>
      <c r="AJ65" s="33"/>
      <c r="AK65" s="33"/>
      <c r="AL65" s="33"/>
      <c r="AM65" s="33"/>
      <c r="AN65" s="33"/>
      <c r="AO65" s="33"/>
      <c r="AP65" s="33"/>
      <c r="AQ65" s="33"/>
      <c r="AR65" s="33"/>
      <c r="AS65" s="33"/>
      <c r="AT65" s="33"/>
      <c r="AU65" s="33"/>
      <c r="AV65" s="33"/>
      <c r="AW65" s="33"/>
      <c r="AX65" s="33"/>
      <c r="AY65" s="33"/>
      <c r="AZ65" s="33"/>
      <c r="BA65" s="33"/>
      <c r="BB65" s="33"/>
    </row>
    <row r="66" spans="3:54" x14ac:dyDescent="0.25">
      <c r="C66" s="833">
        <v>1</v>
      </c>
      <c r="D66">
        <f>C66 / (2 *LN(2))</f>
        <v>0.72134752044448169</v>
      </c>
      <c r="G66"/>
      <c r="H66"/>
      <c r="I66"/>
      <c r="J66"/>
      <c r="K66"/>
      <c r="U66" s="84"/>
      <c r="V66" s="84"/>
      <c r="W66" s="84"/>
      <c r="X66" s="84"/>
      <c r="Y66" s="84"/>
      <c r="AH66"/>
      <c r="AI66"/>
      <c r="AJ66"/>
    </row>
    <row r="67" spans="3:54" x14ac:dyDescent="0.25">
      <c r="C67" s="833">
        <v>1.1000000000000001</v>
      </c>
      <c r="D67">
        <f>C67 / (2 *LN(2))</f>
        <v>0.79348227248893</v>
      </c>
      <c r="E67" t="s">
        <v>342</v>
      </c>
      <c r="G67"/>
      <c r="H67"/>
      <c r="I67"/>
      <c r="J67"/>
      <c r="K67"/>
      <c r="U67" s="84"/>
      <c r="V67" s="84"/>
      <c r="W67" s="84"/>
      <c r="X67" s="84"/>
      <c r="Y67" s="84"/>
      <c r="AH67"/>
      <c r="AI67"/>
      <c r="AJ67"/>
    </row>
    <row r="68" spans="3:54" x14ac:dyDescent="0.25">
      <c r="G68"/>
      <c r="H68"/>
      <c r="I68"/>
      <c r="J68"/>
      <c r="K68"/>
      <c r="U68" s="84"/>
      <c r="V68" s="84"/>
      <c r="W68" s="84"/>
      <c r="X68" s="84"/>
      <c r="Y68" s="84"/>
      <c r="AH68"/>
      <c r="AI68"/>
      <c r="AJ68"/>
    </row>
    <row r="69" spans="3:54" x14ac:dyDescent="0.25">
      <c r="G69"/>
      <c r="H69"/>
      <c r="I69"/>
      <c r="J69"/>
      <c r="K69"/>
      <c r="U69" s="84"/>
      <c r="V69" s="84"/>
      <c r="W69" s="84"/>
      <c r="X69" s="84"/>
      <c r="Y69" s="84"/>
      <c r="AH69"/>
      <c r="AI69"/>
      <c r="AJ69"/>
    </row>
    <row r="70" spans="3:54" x14ac:dyDescent="0.25">
      <c r="K70" s="724"/>
      <c r="L70" s="724"/>
      <c r="M70" s="724"/>
      <c r="N70" s="724"/>
      <c r="O70" s="724"/>
      <c r="P70" s="724"/>
    </row>
    <row r="71" spans="3:54" x14ac:dyDescent="0.25">
      <c r="C71" t="s">
        <v>343</v>
      </c>
      <c r="G71" s="84" t="s">
        <v>45</v>
      </c>
      <c r="H71" s="84" t="s">
        <v>344</v>
      </c>
      <c r="I71" s="724" t="s">
        <v>345</v>
      </c>
      <c r="J71" s="84" t="str">
        <f>H71</f>
        <v>Log(Depth)</v>
      </c>
      <c r="K71" s="724" t="s">
        <v>346</v>
      </c>
      <c r="L71" s="724" t="s">
        <v>347</v>
      </c>
      <c r="M71" s="724" t="s">
        <v>266</v>
      </c>
      <c r="N71" s="724"/>
      <c r="O71" s="724"/>
      <c r="P71" s="724" t="s">
        <v>348</v>
      </c>
    </row>
    <row r="72" spans="3:54" x14ac:dyDescent="0.25">
      <c r="G72" s="84">
        <v>1</v>
      </c>
      <c r="H72" s="834">
        <f>LN(R40)-1</f>
        <v>0.63678639723971031</v>
      </c>
      <c r="I72" s="724">
        <f t="shared" ref="I72:I87" si="22">P15</f>
        <v>0.5</v>
      </c>
      <c r="J72" s="834">
        <f t="shared" ref="J72:J87" si="23">H72</f>
        <v>0.63678639723971031</v>
      </c>
      <c r="K72" s="724">
        <f t="shared" ref="K72:K87" si="24">P40</f>
        <v>0.513862943611199</v>
      </c>
      <c r="L72" s="724">
        <f t="shared" ref="L72:L87" si="25">U40</f>
        <v>0.5</v>
      </c>
      <c r="M72" s="724">
        <f t="shared" ref="M72:M87" si="26">K72-I72</f>
        <v>1.3862943611198997E-2</v>
      </c>
      <c r="N72" s="724"/>
      <c r="O72" s="724"/>
      <c r="P72" s="724">
        <f t="shared" ref="P72:P87" si="27">L72-I72</f>
        <v>0</v>
      </c>
    </row>
    <row r="73" spans="3:54" x14ac:dyDescent="0.25">
      <c r="G73" s="84">
        <v>2</v>
      </c>
      <c r="H73" s="834">
        <f t="shared" ref="H73:H87" si="28">LN(R41)-1</f>
        <v>3.3890445637675182</v>
      </c>
      <c r="I73" s="724">
        <f t="shared" si="22"/>
        <v>1.3887943864771144E-11</v>
      </c>
      <c r="J73" s="834">
        <f t="shared" si="23"/>
        <v>3.3890445637675182</v>
      </c>
      <c r="K73" s="724">
        <f t="shared" si="24"/>
        <v>0.17518166209987401</v>
      </c>
      <c r="L73" s="724">
        <f t="shared" si="25"/>
        <v>0.16618592892610989</v>
      </c>
      <c r="M73" s="724">
        <f t="shared" si="26"/>
        <v>0.17518166208598607</v>
      </c>
      <c r="N73" s="724"/>
      <c r="O73" s="724"/>
      <c r="P73" s="724">
        <f t="shared" si="27"/>
        <v>0.16618592891222195</v>
      </c>
    </row>
    <row r="74" spans="3:54" x14ac:dyDescent="0.25">
      <c r="G74" s="84">
        <v>3</v>
      </c>
      <c r="H74" s="834">
        <f t="shared" si="28"/>
        <v>3.5005588412257422</v>
      </c>
      <c r="I74" s="724">
        <f t="shared" si="22"/>
        <v>5.9000905415970609E-29</v>
      </c>
      <c r="J74" s="834">
        <f t="shared" si="23"/>
        <v>3.5005588412257422</v>
      </c>
      <c r="K74" s="724">
        <f t="shared" si="24"/>
        <v>2.1952433489850987E-2</v>
      </c>
      <c r="L74" s="724">
        <f t="shared" si="25"/>
        <v>1.999225416298589E-2</v>
      </c>
      <c r="M74" s="724">
        <f t="shared" si="26"/>
        <v>2.1952433489850987E-2</v>
      </c>
      <c r="N74" s="724"/>
      <c r="O74" s="724"/>
      <c r="P74" s="724">
        <f t="shared" si="27"/>
        <v>1.999225416298589E-2</v>
      </c>
    </row>
    <row r="75" spans="3:54" x14ac:dyDescent="0.25">
      <c r="G75" s="84">
        <v>4</v>
      </c>
      <c r="H75" s="834">
        <f t="shared" si="28"/>
        <v>5.9077552789821368</v>
      </c>
      <c r="I75" s="724" t="e">
        <f t="shared" si="22"/>
        <v>#NUM!</v>
      </c>
      <c r="J75" s="834">
        <f t="shared" si="23"/>
        <v>5.9077552789821368</v>
      </c>
      <c r="K75" s="724">
        <f t="shared" si="24"/>
        <v>0</v>
      </c>
      <c r="L75" s="724">
        <f t="shared" si="25"/>
        <v>0</v>
      </c>
      <c r="M75" s="724" t="e">
        <f t="shared" si="26"/>
        <v>#NUM!</v>
      </c>
      <c r="N75" s="724"/>
      <c r="O75" s="724"/>
      <c r="P75" s="724" t="e">
        <f t="shared" si="27"/>
        <v>#NUM!</v>
      </c>
    </row>
    <row r="76" spans="3:54" x14ac:dyDescent="0.25">
      <c r="G76" s="84">
        <v>5</v>
      </c>
      <c r="H76" s="834">
        <f t="shared" si="28"/>
        <v>5.9077552789959675</v>
      </c>
      <c r="I76" s="724" t="e">
        <f t="shared" si="22"/>
        <v>#NUM!</v>
      </c>
      <c r="J76" s="834">
        <f t="shared" si="23"/>
        <v>5.9077552789959675</v>
      </c>
      <c r="K76" s="724">
        <f t="shared" si="24"/>
        <v>7.1553285518888288E-10</v>
      </c>
      <c r="L76" s="724">
        <f t="shared" si="25"/>
        <v>4.9395765255866309E-10</v>
      </c>
      <c r="M76" s="724" t="e">
        <f t="shared" si="26"/>
        <v>#NUM!</v>
      </c>
      <c r="N76" s="724"/>
      <c r="O76" s="724"/>
      <c r="P76" s="724" t="e">
        <f t="shared" si="27"/>
        <v>#NUM!</v>
      </c>
    </row>
    <row r="77" spans="3:54" x14ac:dyDescent="0.25">
      <c r="G77" s="84">
        <v>6</v>
      </c>
      <c r="H77" s="834">
        <f t="shared" si="28"/>
        <v>5.907894174136012</v>
      </c>
      <c r="I77" s="724" t="e">
        <f t="shared" si="22"/>
        <v>#NUM!</v>
      </c>
      <c r="J77" s="834">
        <f t="shared" si="23"/>
        <v>5.907894174136012</v>
      </c>
      <c r="K77" s="724">
        <f t="shared" si="24"/>
        <v>4.3560941733966629E-3</v>
      </c>
      <c r="L77" s="724">
        <f t="shared" si="25"/>
        <v>3.8510323559302062E-3</v>
      </c>
      <c r="M77" s="724" t="e">
        <f t="shared" si="26"/>
        <v>#NUM!</v>
      </c>
      <c r="N77" s="724"/>
      <c r="O77" s="724"/>
      <c r="P77" s="724" t="e">
        <f t="shared" si="27"/>
        <v>#NUM!</v>
      </c>
    </row>
    <row r="78" spans="3:54" x14ac:dyDescent="0.25">
      <c r="G78" s="84">
        <v>7</v>
      </c>
      <c r="H78" s="834">
        <f t="shared" si="28"/>
        <v>5.9172602691869178</v>
      </c>
      <c r="I78" s="724" t="e">
        <f t="shared" si="22"/>
        <v>#NUM!</v>
      </c>
      <c r="J78" s="834">
        <f t="shared" si="23"/>
        <v>5.9172602691869178</v>
      </c>
      <c r="K78" s="724">
        <f t="shared" si="24"/>
        <v>0.22766810804454107</v>
      </c>
      <c r="L78" s="724">
        <f t="shared" si="25"/>
        <v>0.21720125230040233</v>
      </c>
      <c r="M78" s="724" t="e">
        <f t="shared" si="26"/>
        <v>#NUM!</v>
      </c>
      <c r="N78" s="724"/>
      <c r="O78" s="724"/>
      <c r="P78" s="724" t="e">
        <f t="shared" si="27"/>
        <v>#NUM!</v>
      </c>
    </row>
    <row r="79" spans="3:54" x14ac:dyDescent="0.25">
      <c r="G79" s="84">
        <v>8</v>
      </c>
      <c r="H79" s="834">
        <f t="shared" si="28"/>
        <v>5.9351037637877466</v>
      </c>
      <c r="I79" s="724" t="e">
        <f t="shared" si="22"/>
        <v>#NUM!</v>
      </c>
      <c r="J79" s="834">
        <f t="shared" si="23"/>
        <v>5.9351037637877466</v>
      </c>
      <c r="K79" s="724">
        <f t="shared" si="24"/>
        <v>0.513862943611199</v>
      </c>
      <c r="L79" s="724">
        <f t="shared" si="25"/>
        <v>0.5</v>
      </c>
      <c r="M79" s="724" t="e">
        <f t="shared" si="26"/>
        <v>#NUM!</v>
      </c>
      <c r="N79" s="724"/>
      <c r="O79" s="724"/>
      <c r="P79" s="724" t="e">
        <f t="shared" si="27"/>
        <v>#NUM!</v>
      </c>
    </row>
    <row r="80" spans="3:54" x14ac:dyDescent="0.25">
      <c r="G80" s="84">
        <v>9</v>
      </c>
      <c r="H80" s="834">
        <f t="shared" si="28"/>
        <v>5.9371502022635907</v>
      </c>
      <c r="I80" s="724" t="e">
        <f t="shared" si="22"/>
        <v>#NUM!</v>
      </c>
      <c r="J80" s="834">
        <f t="shared" si="23"/>
        <v>5.9371502022635907</v>
      </c>
      <c r="K80" s="724">
        <f t="shared" si="24"/>
        <v>0.53876748585317424</v>
      </c>
      <c r="L80" s="724">
        <f t="shared" si="25"/>
        <v>0.52492941157420447</v>
      </c>
      <c r="M80" s="724" t="e">
        <f t="shared" si="26"/>
        <v>#NUM!</v>
      </c>
      <c r="N80" s="724"/>
      <c r="O80" s="724"/>
      <c r="P80" s="724" t="e">
        <f t="shared" si="27"/>
        <v>#NUM!</v>
      </c>
    </row>
    <row r="81" spans="7:16" x14ac:dyDescent="0.25">
      <c r="G81" s="84">
        <v>10</v>
      </c>
      <c r="H81" s="834">
        <f t="shared" si="28"/>
        <v>5.9336300793651526</v>
      </c>
      <c r="I81" s="724" t="e">
        <f t="shared" si="22"/>
        <v>#NUM!</v>
      </c>
      <c r="J81" s="834">
        <f t="shared" si="23"/>
        <v>5.9336300793651526</v>
      </c>
      <c r="K81" s="724">
        <f t="shared" si="24"/>
        <v>0.53261819226649698</v>
      </c>
      <c r="L81" s="724">
        <f t="shared" si="25"/>
        <v>0.51876934349689741</v>
      </c>
      <c r="M81" s="724" t="e">
        <f t="shared" si="26"/>
        <v>#NUM!</v>
      </c>
      <c r="N81" s="724"/>
      <c r="O81" s="724"/>
      <c r="P81" s="724" t="e">
        <f t="shared" si="27"/>
        <v>#NUM!</v>
      </c>
    </row>
    <row r="82" spans="7:16" x14ac:dyDescent="0.25">
      <c r="G82" s="84">
        <v>11</v>
      </c>
      <c r="H82" s="834">
        <f t="shared" si="28"/>
        <v>5.9351037637877466</v>
      </c>
      <c r="I82" s="724" t="e">
        <f t="shared" si="22"/>
        <v>#NUM!</v>
      </c>
      <c r="J82" s="834">
        <f t="shared" si="23"/>
        <v>5.9351037637877466</v>
      </c>
      <c r="K82" s="724">
        <f t="shared" si="24"/>
        <v>0.513862943611199</v>
      </c>
      <c r="L82" s="724">
        <f t="shared" si="25"/>
        <v>0.5</v>
      </c>
      <c r="M82" s="724" t="e">
        <f t="shared" si="26"/>
        <v>#NUM!</v>
      </c>
      <c r="N82" s="724"/>
      <c r="O82" s="724"/>
      <c r="P82" s="724" t="e">
        <f t="shared" si="27"/>
        <v>#NUM!</v>
      </c>
    </row>
    <row r="83" spans="7:16" x14ac:dyDescent="0.25">
      <c r="G83" s="84">
        <v>12</v>
      </c>
      <c r="H83" s="834">
        <f t="shared" si="28"/>
        <v>3.6325186707937016</v>
      </c>
      <c r="I83" s="724">
        <f t="shared" si="22"/>
        <v>0.5</v>
      </c>
      <c r="J83" s="834">
        <f t="shared" si="23"/>
        <v>3.6325186707937016</v>
      </c>
      <c r="K83" s="724">
        <f t="shared" si="24"/>
        <v>0.513862943611199</v>
      </c>
      <c r="L83" s="724">
        <f t="shared" si="25"/>
        <v>0.5</v>
      </c>
      <c r="M83" s="724">
        <f t="shared" si="26"/>
        <v>1.3862943611198997E-2</v>
      </c>
      <c r="N83" s="724"/>
      <c r="O83" s="724"/>
      <c r="P83" s="724">
        <f t="shared" si="27"/>
        <v>0</v>
      </c>
    </row>
    <row r="84" spans="7:16" x14ac:dyDescent="0.25">
      <c r="G84" s="84">
        <v>13</v>
      </c>
      <c r="H84" s="834">
        <f t="shared" si="28"/>
        <v>2.4998784559966865</v>
      </c>
      <c r="I84" s="724">
        <f t="shared" si="22"/>
        <v>3.0590222692562477E-7</v>
      </c>
      <c r="J84" s="834">
        <f t="shared" si="23"/>
        <v>2.4998784559966865</v>
      </c>
      <c r="K84" s="724">
        <f t="shared" si="24"/>
        <v>9.0435759925068193E-2</v>
      </c>
      <c r="L84" s="724">
        <f t="shared" si="25"/>
        <v>8.4636752372623192E-2</v>
      </c>
      <c r="M84" s="724">
        <f t="shared" si="26"/>
        <v>9.0435454022841269E-2</v>
      </c>
      <c r="N84" s="724"/>
      <c r="O84" s="724"/>
      <c r="P84" s="724">
        <f t="shared" si="27"/>
        <v>8.4636446470396268E-2</v>
      </c>
    </row>
    <row r="85" spans="7:16" x14ac:dyDescent="0.25">
      <c r="G85" s="84">
        <v>14</v>
      </c>
      <c r="H85" s="834">
        <f t="shared" si="28"/>
        <v>2.5279780046548468</v>
      </c>
      <c r="I85" s="724">
        <f t="shared" si="22"/>
        <v>2.0611536181902033E-9</v>
      </c>
      <c r="J85" s="834">
        <f t="shared" si="23"/>
        <v>2.5279780046548468</v>
      </c>
      <c r="K85" s="724">
        <f t="shared" si="24"/>
        <v>4.5578192494926784E-2</v>
      </c>
      <c r="L85" s="724">
        <f t="shared" si="25"/>
        <v>4.2087727915618878E-2</v>
      </c>
      <c r="M85" s="724">
        <f t="shared" si="26"/>
        <v>4.5578190433773168E-2</v>
      </c>
      <c r="N85" s="724"/>
      <c r="O85" s="724"/>
      <c r="P85" s="724">
        <f t="shared" si="27"/>
        <v>4.2087725854465262E-2</v>
      </c>
    </row>
    <row r="86" spans="7:16" x14ac:dyDescent="0.25">
      <c r="G86" s="84">
        <v>15</v>
      </c>
      <c r="H86" s="834">
        <f t="shared" si="28"/>
        <v>1.197224596776767</v>
      </c>
      <c r="I86" s="724">
        <f t="shared" si="22"/>
        <v>2.0611536181902037E-9</v>
      </c>
      <c r="J86" s="834">
        <f t="shared" si="23"/>
        <v>1.197224596776767</v>
      </c>
      <c r="K86" s="724">
        <f t="shared" si="24"/>
        <v>8.1590764433592256E-7</v>
      </c>
      <c r="L86" s="724">
        <f t="shared" si="25"/>
        <v>6.2487456053972323E-7</v>
      </c>
      <c r="M86" s="724">
        <f t="shared" si="26"/>
        <v>8.1384649071773233E-7</v>
      </c>
      <c r="N86" s="724"/>
      <c r="O86" s="724"/>
      <c r="P86" s="724">
        <f t="shared" si="27"/>
        <v>6.2281340692153301E-7</v>
      </c>
    </row>
    <row r="87" spans="7:16" x14ac:dyDescent="0.25">
      <c r="G87" s="84">
        <v>16</v>
      </c>
      <c r="H87" s="834">
        <f t="shared" si="28"/>
        <v>1.0794418584840861</v>
      </c>
      <c r="I87" s="724">
        <f t="shared" si="22"/>
        <v>3.0590222692562472E-7</v>
      </c>
      <c r="J87" s="834">
        <f t="shared" si="23"/>
        <v>1.0794418584840861</v>
      </c>
      <c r="K87" s="724">
        <f t="shared" si="24"/>
        <v>1.2192220644524632E-5</v>
      </c>
      <c r="L87" s="724">
        <f t="shared" si="25"/>
        <v>9.7477771233700494E-6</v>
      </c>
      <c r="M87" s="724">
        <f t="shared" si="26"/>
        <v>1.1886318417599008E-5</v>
      </c>
      <c r="N87" s="724"/>
      <c r="O87" s="724"/>
      <c r="P87" s="724">
        <f t="shared" si="27"/>
        <v>9.4418748964444252E-6</v>
      </c>
    </row>
    <row r="88" spans="7:16" x14ac:dyDescent="0.25">
      <c r="H88" s="84"/>
      <c r="I88" s="84"/>
      <c r="J88" s="84"/>
      <c r="K88" s="84"/>
      <c r="L88" s="84"/>
      <c r="M88" s="84"/>
      <c r="N88" s="84"/>
      <c r="O88" s="84"/>
      <c r="P88" s="84"/>
    </row>
    <row r="89" spans="7:16" x14ac:dyDescent="0.25">
      <c r="H89" s="84"/>
      <c r="I89" s="84"/>
      <c r="J89" s="84"/>
      <c r="K89" s="84"/>
      <c r="L89" s="84"/>
      <c r="M89" s="84"/>
      <c r="N89" s="84"/>
      <c r="O89" s="84"/>
      <c r="P89" s="84"/>
    </row>
  </sheetData>
  <mergeCells count="9">
    <mergeCell ref="Z38:AA38"/>
    <mergeCell ref="B39:B56"/>
    <mergeCell ref="U39:V39"/>
    <mergeCell ref="C4:C6"/>
    <mergeCell ref="C8:C11"/>
    <mergeCell ref="J10:L10"/>
    <mergeCell ref="Z13:AA13"/>
    <mergeCell ref="B14:B31"/>
    <mergeCell ref="U14:V14"/>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24D3-92E3-40BB-A4AB-EEFA0FDEAF10}">
  <sheetPr>
    <tabColor theme="2" tint="-0.499984740745262"/>
  </sheetPr>
  <dimension ref="A2:AV60"/>
  <sheetViews>
    <sheetView topLeftCell="W10" zoomScale="85" zoomScaleNormal="85" workbookViewId="0">
      <selection activeCell="X48" sqref="X48"/>
    </sheetView>
  </sheetViews>
  <sheetFormatPr defaultRowHeight="15" x14ac:dyDescent="0.25"/>
  <cols>
    <col min="3" max="3" width="10.7109375" bestFit="1" customWidth="1"/>
    <col min="5" max="6" width="11.42578125" style="33" customWidth="1"/>
    <col min="7" max="8" width="12" style="33" customWidth="1"/>
    <col min="9" max="9" width="19.140625" style="33" customWidth="1"/>
    <col min="10" max="10" width="22.140625" style="33" customWidth="1"/>
    <col min="11" max="11" width="15.5703125" customWidth="1"/>
    <col min="12" max="12" width="0" hidden="1" customWidth="1"/>
    <col min="13" max="13" width="9.42578125" hidden="1" customWidth="1"/>
    <col min="14" max="14" width="12.7109375" hidden="1" customWidth="1"/>
    <col min="15" max="15" width="10.28515625" hidden="1" customWidth="1"/>
    <col min="16" max="16" width="10.7109375" hidden="1" customWidth="1"/>
    <col min="17" max="17" width="0" hidden="1" customWidth="1"/>
    <col min="18" max="18" width="9.42578125" customWidth="1"/>
    <col min="20" max="20" width="12.140625" customWidth="1"/>
    <col min="21" max="21" width="10.5703125" customWidth="1"/>
    <col min="24" max="25" width="11.140625" customWidth="1"/>
    <col min="27" max="27" width="9.85546875" bestFit="1" customWidth="1"/>
    <col min="28" max="28" width="9.85546875" customWidth="1"/>
    <col min="30" max="30" width="19.42578125" bestFit="1" customWidth="1"/>
    <col min="31" max="31" width="21.28515625" bestFit="1" customWidth="1"/>
    <col min="34" max="34" width="10" customWidth="1"/>
    <col min="35" max="35" width="10.85546875" bestFit="1" customWidth="1"/>
    <col min="45" max="45" width="13.85546875" bestFit="1" customWidth="1"/>
    <col min="47" max="47" width="11" customWidth="1"/>
    <col min="48" max="48" width="9.140625" customWidth="1"/>
  </cols>
  <sheetData>
    <row r="2" spans="1:36" ht="36" x14ac:dyDescent="0.55000000000000004">
      <c r="B2" s="241" t="s">
        <v>125</v>
      </c>
      <c r="G2" s="17"/>
      <c r="H2" s="17"/>
      <c r="I2" s="17"/>
      <c r="W2" s="33"/>
    </row>
    <row r="3" spans="1:36" ht="15" customHeight="1" x14ac:dyDescent="0.55000000000000004">
      <c r="B3" s="241"/>
      <c r="G3" s="17"/>
      <c r="H3" s="17"/>
      <c r="I3" s="17"/>
      <c r="W3" s="33"/>
    </row>
    <row r="4" spans="1:36" ht="15" customHeight="1" x14ac:dyDescent="0.55000000000000004">
      <c r="B4" s="241"/>
      <c r="G4" s="17"/>
      <c r="H4" s="17"/>
      <c r="I4" s="17"/>
      <c r="W4" s="33"/>
    </row>
    <row r="5" spans="1:36" ht="15" customHeight="1" x14ac:dyDescent="0.25">
      <c r="B5" s="7" t="s">
        <v>656</v>
      </c>
      <c r="G5" s="17"/>
      <c r="H5" s="17"/>
      <c r="I5" s="17"/>
      <c r="W5" s="33"/>
    </row>
    <row r="6" spans="1:36" ht="15" customHeight="1" x14ac:dyDescent="0.25">
      <c r="A6" s="7"/>
      <c r="B6" s="7" t="str" cm="1">
        <f t="array" aca="1" ref="B6" ca="1">"(Decisions are: questions that the oracle will need to answer. The oracle's ultimate answer is Orange in Cell: "&amp;CELL("address",G44)&amp;", below.)"</f>
        <v>(Decisions are: questions that the oracle will need to answer. The oracle's ultimate answer is Orange in Cell: $G$44, below.)</v>
      </c>
      <c r="C6" s="7"/>
      <c r="D6" s="7"/>
      <c r="E6" s="17"/>
      <c r="F6" s="239"/>
      <c r="G6" s="189"/>
      <c r="H6" s="17"/>
      <c r="I6" s="17"/>
      <c r="J6"/>
      <c r="N6" t="s">
        <v>127</v>
      </c>
      <c r="W6" s="33"/>
    </row>
    <row r="7" spans="1:36" ht="15" customHeight="1" x14ac:dyDescent="0.25">
      <c r="A7" s="7"/>
      <c r="B7" s="1564" t="s">
        <v>159</v>
      </c>
      <c r="C7" s="150" t="s">
        <v>4</v>
      </c>
      <c r="D7" s="264" t="s">
        <v>643</v>
      </c>
      <c r="E7" s="150"/>
      <c r="F7" s="264"/>
      <c r="G7" s="271"/>
      <c r="H7" s="259"/>
      <c r="I7" s="189"/>
      <c r="J7"/>
      <c r="U7" s="33"/>
      <c r="V7" s="33"/>
      <c r="W7" s="33"/>
    </row>
    <row r="8" spans="1:36" ht="15" customHeight="1" x14ac:dyDescent="0.25">
      <c r="A8" s="7"/>
      <c r="B8" s="1565"/>
      <c r="C8" s="17" t="s">
        <v>130</v>
      </c>
      <c r="D8" s="17" t="s">
        <v>3</v>
      </c>
      <c r="E8" s="7"/>
      <c r="F8" s="17"/>
      <c r="G8" s="189"/>
      <c r="H8" s="239"/>
      <c r="I8" s="189"/>
      <c r="J8"/>
      <c r="U8" s="33"/>
      <c r="V8" s="33"/>
      <c r="W8" s="33"/>
    </row>
    <row r="9" spans="1:36" ht="15" customHeight="1" x14ac:dyDescent="0.25">
      <c r="A9" s="7"/>
      <c r="B9" s="1566"/>
      <c r="C9" s="257" t="s">
        <v>131</v>
      </c>
      <c r="D9" s="257" t="s">
        <v>2</v>
      </c>
      <c r="E9" s="245"/>
      <c r="F9" s="257"/>
      <c r="G9" s="272"/>
      <c r="H9" s="260"/>
      <c r="I9" s="189"/>
      <c r="J9"/>
      <c r="U9" s="33"/>
      <c r="V9" s="33"/>
      <c r="W9" s="33"/>
    </row>
    <row r="10" spans="1:36" ht="15" customHeight="1" x14ac:dyDescent="0.25">
      <c r="A10" s="7"/>
      <c r="B10" s="256"/>
      <c r="C10" s="17"/>
      <c r="D10" s="17"/>
      <c r="E10" s="7"/>
      <c r="F10" s="17"/>
      <c r="G10" s="189"/>
      <c r="H10" s="17"/>
      <c r="I10" s="189"/>
      <c r="J10"/>
      <c r="U10" s="33"/>
      <c r="V10" s="33"/>
      <c r="W10" s="33"/>
    </row>
    <row r="11" spans="1:36" ht="15" customHeight="1" x14ac:dyDescent="0.25">
      <c r="A11" s="7"/>
      <c r="B11" s="256"/>
      <c r="C11" s="17"/>
      <c r="D11" s="17"/>
      <c r="E11" s="7"/>
      <c r="F11" s="17"/>
      <c r="G11" s="189"/>
      <c r="H11" s="17"/>
      <c r="I11" s="189"/>
      <c r="J11"/>
      <c r="U11" s="33"/>
      <c r="V11" s="33"/>
      <c r="W11" s="33"/>
    </row>
    <row r="12" spans="1:36" ht="15" customHeight="1" x14ac:dyDescent="0.25">
      <c r="A12" s="7"/>
      <c r="B12" s="255" t="s">
        <v>660</v>
      </c>
      <c r="C12" s="17"/>
      <c r="D12" s="17"/>
      <c r="E12" s="7"/>
      <c r="F12" s="17"/>
      <c r="G12" s="189"/>
      <c r="H12" s="17"/>
      <c r="I12" s="189"/>
      <c r="J12"/>
      <c r="U12" s="33"/>
      <c r="V12" s="33"/>
      <c r="W12" s="33"/>
    </row>
    <row r="13" spans="1:36" ht="15" customHeight="1" x14ac:dyDescent="0.25">
      <c r="A13" s="7"/>
      <c r="B13" s="1140" t="str" cm="1">
        <f t="array" aca="1" ref="B13" ca="1">"Building a market requires 'sacrifical capital', shown in cell: "&amp;CELL("address",D17)&amp;"."</f>
        <v>Building a market requires 'sacrifical capital', shown in cell: $D$17.</v>
      </c>
      <c r="C13" s="17"/>
      <c r="D13" s="17"/>
      <c r="E13" s="7"/>
      <c r="F13" s="17"/>
      <c r="G13" s="189"/>
      <c r="H13" s="17"/>
      <c r="I13" s="189"/>
      <c r="J13"/>
      <c r="U13" s="33"/>
      <c r="V13" s="33"/>
      <c r="W13" s="33"/>
    </row>
    <row r="14" spans="1:36" ht="15.75" thickBot="1" x14ac:dyDescent="0.3">
      <c r="A14" s="7"/>
      <c r="B14" s="1140" t="str" cm="1">
        <f t="array" aca="1" ref="B14" ca="1">"The more capital, the more liquidity (indicated by the 'beta' parameter, in cell: "&amp;CELL("address",D17)&amp;")."</f>
        <v>The more capital, the more liquidity (indicated by the 'beta' parameter, in cell: $D$17).</v>
      </c>
      <c r="C14" s="17"/>
      <c r="D14" s="17"/>
      <c r="E14" s="7"/>
      <c r="F14" s="239"/>
      <c r="G14" s="189"/>
      <c r="H14" s="17"/>
      <c r="I14" s="189"/>
      <c r="J14"/>
      <c r="U14" s="33"/>
      <c r="V14" s="33"/>
      <c r="W14" s="33"/>
    </row>
    <row r="15" spans="1:36" ht="15.75" thickBot="1" x14ac:dyDescent="0.3">
      <c r="A15" s="7"/>
      <c r="B15" s="1567" t="s">
        <v>148</v>
      </c>
      <c r="C15" s="273" t="s">
        <v>160</v>
      </c>
      <c r="D15" s="276" t="s">
        <v>161</v>
      </c>
      <c r="E15" s="251" t="s">
        <v>162</v>
      </c>
      <c r="F15" s="251"/>
      <c r="G15" s="178"/>
      <c r="H15" s="17"/>
      <c r="I15" s="189"/>
      <c r="J15"/>
      <c r="U15" s="33"/>
      <c r="V15" s="33"/>
      <c r="W15" s="33"/>
    </row>
    <row r="16" spans="1:36" x14ac:dyDescent="0.25">
      <c r="A16" s="7"/>
      <c r="B16" s="1568"/>
      <c r="C16" s="17" t="s">
        <v>135</v>
      </c>
      <c r="D16" s="254">
        <v>2</v>
      </c>
      <c r="E16" s="17" t="s">
        <v>136</v>
      </c>
      <c r="F16" s="7"/>
      <c r="G16" s="277"/>
      <c r="H16" s="17"/>
      <c r="I16" s="189"/>
      <c r="J16"/>
      <c r="U16" s="33"/>
      <c r="V16" s="33"/>
      <c r="W16" s="1567" t="s">
        <v>148</v>
      </c>
      <c r="X16" s="273" t="s">
        <v>160</v>
      </c>
      <c r="Y16" s="276" t="s">
        <v>161</v>
      </c>
      <c r="Z16" s="251" t="s">
        <v>162</v>
      </c>
      <c r="AA16" s="251"/>
      <c r="AB16" s="178"/>
      <c r="AH16" s="7"/>
      <c r="AI16" s="7"/>
      <c r="AJ16" s="7"/>
    </row>
    <row r="17" spans="1:48" x14ac:dyDescent="0.25">
      <c r="A17" s="7"/>
      <c r="B17" s="1568"/>
      <c r="C17" s="17" t="s">
        <v>5</v>
      </c>
      <c r="D17" s="1135">
        <v>4750</v>
      </c>
      <c r="E17" s="17" t="s">
        <v>139</v>
      </c>
      <c r="F17" s="7"/>
      <c r="G17" s="277"/>
      <c r="H17" s="17"/>
      <c r="I17" s="189"/>
      <c r="J17"/>
      <c r="U17" s="33"/>
      <c r="V17" s="33"/>
      <c r="W17" s="1568"/>
      <c r="X17" s="17" t="s">
        <v>135</v>
      </c>
      <c r="Y17" s="254">
        <v>3</v>
      </c>
      <c r="Z17" s="17" t="s">
        <v>136</v>
      </c>
      <c r="AA17" s="7"/>
      <c r="AB17" s="277"/>
      <c r="AH17" s="7" t="s">
        <v>623</v>
      </c>
      <c r="AI17" s="1160">
        <v>1000</v>
      </c>
      <c r="AJ17" s="7"/>
    </row>
    <row r="18" spans="1:48" ht="15.75" thickBot="1" x14ac:dyDescent="0.3">
      <c r="A18" s="7"/>
      <c r="B18" s="1569"/>
      <c r="C18" s="166" t="s">
        <v>137</v>
      </c>
      <c r="D18" s="275">
        <f>D17*LN(D16)</f>
        <v>3292.4491076597401</v>
      </c>
      <c r="E18" s="166" t="s">
        <v>138</v>
      </c>
      <c r="F18" s="166"/>
      <c r="G18" s="179"/>
      <c r="H18" s="17"/>
      <c r="I18" s="189"/>
      <c r="J18"/>
      <c r="U18" s="33"/>
      <c r="V18" s="33"/>
      <c r="W18" s="1568"/>
      <c r="X18" s="17" t="s">
        <v>5</v>
      </c>
      <c r="Y18" s="1135">
        <v>300</v>
      </c>
      <c r="Z18" s="17" t="s">
        <v>139</v>
      </c>
      <c r="AA18" s="7"/>
      <c r="AB18" s="277"/>
      <c r="AH18" s="7"/>
      <c r="AI18" s="7"/>
      <c r="AJ18" s="7"/>
    </row>
    <row r="19" spans="1:48" s="7" customFormat="1" ht="15.75" thickBot="1" x14ac:dyDescent="0.3">
      <c r="C19"/>
      <c r="D19"/>
      <c r="E19" s="33"/>
      <c r="F19" s="239"/>
      <c r="G19" s="33"/>
      <c r="H19" s="33"/>
      <c r="I19" s="33"/>
      <c r="J19" s="33"/>
      <c r="K19"/>
      <c r="L19"/>
      <c r="M19"/>
      <c r="N19"/>
      <c r="O19"/>
      <c r="P19"/>
      <c r="Q19"/>
      <c r="R19"/>
      <c r="S19"/>
      <c r="T19" s="8"/>
      <c r="W19" s="1569"/>
      <c r="X19" s="166" t="s">
        <v>137</v>
      </c>
      <c r="Y19" s="275">
        <f>Y18*LN(Y17)</f>
        <v>329.58368660043294</v>
      </c>
      <c r="Z19" s="166" t="s">
        <v>138</v>
      </c>
      <c r="AA19" s="166"/>
      <c r="AB19" s="179"/>
      <c r="AE19" s="7">
        <f>LN(2)</f>
        <v>0.69314718055994529</v>
      </c>
      <c r="AI19" s="7">
        <f>SUMSQ(AI20:AI25)</f>
        <v>999999.99689737009</v>
      </c>
    </row>
    <row r="20" spans="1:48" s="7" customFormat="1" x14ac:dyDescent="0.25">
      <c r="C20"/>
      <c r="D20"/>
      <c r="E20" s="33"/>
      <c r="F20" s="17"/>
      <c r="G20" s="33"/>
      <c r="H20" s="33"/>
      <c r="I20" s="33"/>
      <c r="J20" s="33"/>
      <c r="K20"/>
      <c r="L20"/>
      <c r="M20"/>
      <c r="N20"/>
      <c r="O20"/>
      <c r="P20"/>
      <c r="Q20"/>
      <c r="R20"/>
      <c r="S20"/>
      <c r="T20" s="8"/>
      <c r="AE20" s="7">
        <f>LN(3)</f>
        <v>1.0986122886681098</v>
      </c>
      <c r="AH20" s="7" t="s">
        <v>678</v>
      </c>
      <c r="AI20" s="1163">
        <f>AH29-AI17</f>
        <v>-4.6619261952400848E-3</v>
      </c>
      <c r="AK20" s="7" t="s">
        <v>676</v>
      </c>
      <c r="AL20" s="7">
        <v>1322.3579005334698</v>
      </c>
    </row>
    <row r="21" spans="1:48" s="7" customFormat="1" x14ac:dyDescent="0.25">
      <c r="C21"/>
      <c r="D21"/>
      <c r="E21" s="1572" t="s">
        <v>658</v>
      </c>
      <c r="F21" s="1573"/>
      <c r="G21" s="1578" t="s">
        <v>657</v>
      </c>
      <c r="H21" s="1579"/>
      <c r="I21" s="1579"/>
      <c r="J21" s="1580"/>
      <c r="K21"/>
      <c r="L21"/>
      <c r="M21"/>
      <c r="N21"/>
      <c r="O21"/>
      <c r="P21"/>
      <c r="Q21"/>
      <c r="R21"/>
      <c r="S21"/>
      <c r="T21" s="8"/>
      <c r="AE21" s="7">
        <f>LN(4)</f>
        <v>1.3862943611198906</v>
      </c>
      <c r="AI21" s="1157">
        <f>AH31-AI17</f>
        <v>-1.8320982072737024E-3</v>
      </c>
      <c r="AL21" s="7">
        <v>1839.5381822605289</v>
      </c>
    </row>
    <row r="22" spans="1:48" s="7" customFormat="1" x14ac:dyDescent="0.25">
      <c r="C22"/>
      <c r="D22"/>
      <c r="E22" s="1574"/>
      <c r="F22" s="1575"/>
      <c r="G22" s="1581"/>
      <c r="H22" s="1582"/>
      <c r="I22" s="1582"/>
      <c r="J22" s="1583"/>
      <c r="K22"/>
      <c r="L22"/>
      <c r="M22"/>
      <c r="N22"/>
      <c r="O22"/>
      <c r="P22"/>
      <c r="Q22"/>
      <c r="R22"/>
      <c r="S22"/>
      <c r="T22" s="8"/>
      <c r="AI22" s="1157">
        <f>AH33-AI17</f>
        <v>-2.3220545228923584E-3</v>
      </c>
      <c r="AL22" s="7">
        <v>2017.3895055235714</v>
      </c>
    </row>
    <row r="23" spans="1:48" s="7" customFormat="1" x14ac:dyDescent="0.25">
      <c r="C23"/>
      <c r="D23"/>
      <c r="E23" s="1574"/>
      <c r="F23" s="1575"/>
      <c r="G23" s="1581"/>
      <c r="H23" s="1582"/>
      <c r="I23" s="1582"/>
      <c r="J23" s="1583"/>
      <c r="K23"/>
      <c r="L23"/>
      <c r="M23"/>
      <c r="N23"/>
      <c r="O23"/>
      <c r="P23"/>
      <c r="Q23"/>
      <c r="R23"/>
      <c r="S23"/>
      <c r="T23" s="8"/>
      <c r="AI23" s="1157">
        <f>AH35-AI17</f>
        <v>-9.8729425390047254E-3</v>
      </c>
      <c r="AL23" s="7">
        <v>10999.990127057465</v>
      </c>
    </row>
    <row r="24" spans="1:48" s="7" customFormat="1" x14ac:dyDescent="0.25">
      <c r="C24"/>
      <c r="D24"/>
      <c r="E24" s="1576"/>
      <c r="F24" s="1577"/>
      <c r="G24" s="1584"/>
      <c r="H24" s="1585"/>
      <c r="I24" s="1585"/>
      <c r="J24" s="1586"/>
      <c r="K24"/>
      <c r="L24"/>
      <c r="M24"/>
      <c r="N24"/>
      <c r="O24"/>
      <c r="P24"/>
      <c r="Q24"/>
      <c r="R24"/>
      <c r="S24"/>
      <c r="T24" s="8"/>
      <c r="AI24" s="1157">
        <f>AH40-AI17</f>
        <v>6.515774115541717E-3</v>
      </c>
      <c r="AL24" s="8">
        <v>6999.9934841833401</v>
      </c>
    </row>
    <row r="25" spans="1:48" s="7" customFormat="1" ht="15.75" thickBot="1" x14ac:dyDescent="0.3">
      <c r="C25"/>
      <c r="D25"/>
      <c r="E25" s="33"/>
      <c r="F25" s="1139"/>
      <c r="G25" s="33"/>
      <c r="H25" s="33"/>
      <c r="I25" s="33"/>
      <c r="J25" s="33"/>
      <c r="K25"/>
      <c r="L25"/>
      <c r="M25"/>
      <c r="N25"/>
      <c r="O25"/>
      <c r="P25"/>
      <c r="Q25"/>
      <c r="R25"/>
      <c r="S25"/>
      <c r="T25" s="8"/>
      <c r="AI25" s="1157">
        <f>AH42-AI17</f>
        <v>-999.99999836347888</v>
      </c>
      <c r="AL25" s="8">
        <v>0</v>
      </c>
    </row>
    <row r="26" spans="1:48" s="7" customFormat="1" ht="24.75" customHeight="1" thickBot="1" x14ac:dyDescent="0.35">
      <c r="D26"/>
      <c r="E26" s="199" t="s">
        <v>12</v>
      </c>
      <c r="F26" s="201"/>
      <c r="G26" s="296" t="s">
        <v>13</v>
      </c>
      <c r="H26" s="62"/>
      <c r="I26" s="63" t="s">
        <v>119</v>
      </c>
      <c r="J26" s="240" t="s">
        <v>120</v>
      </c>
      <c r="K26" s="20"/>
      <c r="L26" s="1570" t="s">
        <v>98</v>
      </c>
      <c r="M26" s="1571"/>
      <c r="N26" s="183" t="s">
        <v>99</v>
      </c>
      <c r="P26" s="7" t="s">
        <v>100</v>
      </c>
      <c r="Q26" s="20"/>
      <c r="R26" s="184"/>
      <c r="S26" s="20"/>
      <c r="W26"/>
      <c r="X26" s="199" t="s">
        <v>12</v>
      </c>
      <c r="Y26" s="200"/>
      <c r="Z26" s="201"/>
      <c r="AA26" s="296" t="s">
        <v>13</v>
      </c>
      <c r="AB26" s="62"/>
      <c r="AC26" s="62"/>
      <c r="AD26" s="63" t="s">
        <v>119</v>
      </c>
      <c r="AE26" s="240" t="s">
        <v>120</v>
      </c>
    </row>
    <row r="27" spans="1:48" s="7" customFormat="1" ht="16.5" thickTop="1" thickBot="1" x14ac:dyDescent="0.3">
      <c r="C27" s="32"/>
      <c r="D27" s="115" t="s">
        <v>45</v>
      </c>
      <c r="E27" s="247" t="s">
        <v>661</v>
      </c>
      <c r="F27" s="248" t="s">
        <v>662</v>
      </c>
      <c r="G27" s="174" t="s">
        <v>130</v>
      </c>
      <c r="H27" s="173" t="s">
        <v>131</v>
      </c>
      <c r="I27" s="1142">
        <v>0</v>
      </c>
      <c r="J27" s="1143"/>
      <c r="L27" s="180" t="str">
        <f>E27</f>
        <v>One</v>
      </c>
      <c r="M27" s="181" t="str">
        <f>F27</f>
        <v>Two</v>
      </c>
      <c r="R27"/>
      <c r="V27" s="21"/>
      <c r="W27" s="115" t="s">
        <v>45</v>
      </c>
      <c r="X27" s="247" t="s">
        <v>661</v>
      </c>
      <c r="Y27" s="1141" t="s">
        <v>662</v>
      </c>
      <c r="Z27" s="248" t="s">
        <v>663</v>
      </c>
      <c r="AA27" s="174" t="s">
        <v>661</v>
      </c>
      <c r="AB27" s="1141" t="s">
        <v>662</v>
      </c>
      <c r="AC27" s="173" t="s">
        <v>663</v>
      </c>
      <c r="AD27" s="1142">
        <v>0</v>
      </c>
      <c r="AE27" s="1143"/>
    </row>
    <row r="28" spans="1:48" s="7" customFormat="1" ht="18" customHeight="1" thickTop="1" thickBot="1" x14ac:dyDescent="0.3">
      <c r="D28" s="25">
        <v>1</v>
      </c>
      <c r="E28" s="453">
        <v>0</v>
      </c>
      <c r="F28" s="826">
        <v>0</v>
      </c>
      <c r="G28" s="229">
        <f t="shared" ref="G28:H43" si="0">EXP(E28/$D$17)/(EXP($F28/$D$17)+EXP($E28/$D$17))</f>
        <v>0.5</v>
      </c>
      <c r="H28" s="227">
        <f t="shared" si="0"/>
        <v>0.5</v>
      </c>
      <c r="I28" s="1145">
        <f t="shared" ref="I28:I44" si="1">$D$17*LN(EXP($F28/$D$17)+EXP($E28/$D$17))</f>
        <v>3292.4491076597401</v>
      </c>
      <c r="J28" s="1146">
        <f>(I28-I27)</f>
        <v>3292.4491076597401</v>
      </c>
      <c r="L28" s="114"/>
      <c r="M28" s="100"/>
      <c r="R28"/>
      <c r="V28" s="21"/>
      <c r="W28" s="25">
        <v>1</v>
      </c>
      <c r="X28" s="453">
        <v>0</v>
      </c>
      <c r="Y28" s="1144">
        <v>0</v>
      </c>
      <c r="Z28" s="826">
        <v>0</v>
      </c>
      <c r="AA28" s="229">
        <f>EXP(X28/$Y$18)/(EXP($Y28/$Y$18)+EXP($X28/$Y$18)+EXP($Z28/$Y$18))</f>
        <v>0.33333333333333331</v>
      </c>
      <c r="AB28" s="1154">
        <f t="shared" ref="AB28:AB43" si="2">EXP(Y28/$Y$18)/(EXP($Y28/$Y$18)+EXP($X28/$Y$18)+EXP($Z28/$Y$18))</f>
        <v>0.33333333333333331</v>
      </c>
      <c r="AC28" s="227">
        <f t="shared" ref="AC28:AC43" si="3">EXP(Z28/$Y$18)/(EXP($Y28/$Y$18)+EXP($X28/$Y$18)+EXP($Z28/$Y$18))</f>
        <v>0.33333333333333331</v>
      </c>
      <c r="AD28" s="1145">
        <f>$Y$18*LN(EXP($Y28/$Y$18)+EXP($X28/$Y$18)+EXP($Z28/$Y$18))</f>
        <v>329.58368660043294</v>
      </c>
      <c r="AE28" s="1146">
        <f>(AD28-AD27)</f>
        <v>329.58368660043294</v>
      </c>
      <c r="AK28" s="1161"/>
      <c r="AR28" s="1136" t="s">
        <v>671</v>
      </c>
      <c r="AS28" s="1138" t="s">
        <v>673</v>
      </c>
      <c r="AT28" s="1137" t="s">
        <v>672</v>
      </c>
      <c r="AU28" s="1075" t="s">
        <v>674</v>
      </c>
      <c r="AV28" s="1075" t="s">
        <v>675</v>
      </c>
    </row>
    <row r="29" spans="1:48" s="7" customFormat="1" ht="19.5" thickBot="1" x14ac:dyDescent="0.35">
      <c r="D29" s="25">
        <v>2</v>
      </c>
      <c r="E29" s="453">
        <v>1825</v>
      </c>
      <c r="F29" s="826">
        <v>0</v>
      </c>
      <c r="G29" s="229">
        <f t="shared" si="0"/>
        <v>0.5948882279506742</v>
      </c>
      <c r="H29" s="227">
        <f t="shared" si="0"/>
        <v>0.40511177204932575</v>
      </c>
      <c r="I29" s="1145">
        <f t="shared" si="1"/>
        <v>4292.0632805167279</v>
      </c>
      <c r="J29" s="1147">
        <f>(I29-I28)</f>
        <v>999.61417285698781</v>
      </c>
      <c r="L29" s="114">
        <f>E29-E28</f>
        <v>1825</v>
      </c>
      <c r="M29" s="100">
        <f>F29-F28</f>
        <v>0</v>
      </c>
      <c r="N29" s="182">
        <f t="shared" ref="N29:N43" si="4">J29</f>
        <v>999.61417285698781</v>
      </c>
      <c r="P29" s="7" t="str">
        <f>IF(L29&gt;0,"Bought ",IF(L29&lt;0,"Sold ",""))&amp;IF(L29&lt;0,L29*-1,IF(L29&gt;0,L29,""))&amp;IF(L29&lt;&gt;0," Shares of State 1 at a cost of "&amp;ROUND($N29,5),"")</f>
        <v>Bought 1825 Shares of State 1 at a cost of 999.61417</v>
      </c>
      <c r="Q29" s="7" t="str">
        <f>IF(M29&gt;0,"Bought ",IF(M29&lt;0,"Sold ",""))&amp;IF(M29&lt;0,M29*-1,IF(M29&gt;0,M29,""))&amp;IF(M29&lt;&gt;0," Shares of State 2 at a cost of "&amp;ROUND($N29,5),"")</f>
        <v/>
      </c>
      <c r="R29" s="185">
        <f>E29/J29</f>
        <v>1.8257044063150734</v>
      </c>
      <c r="S29" s="7">
        <f>1/R29</f>
        <v>0.54773379334629468</v>
      </c>
      <c r="V29" s="21" t="s">
        <v>677</v>
      </c>
      <c r="W29" s="25">
        <v>2</v>
      </c>
      <c r="X29" s="1162">
        <f>AL20</f>
        <v>1322.3579005334698</v>
      </c>
      <c r="Y29" s="1144">
        <v>0</v>
      </c>
      <c r="Z29" s="826">
        <v>0</v>
      </c>
      <c r="AA29" s="229">
        <f t="shared" ref="AA29:AA43" si="5">EXP(X29/$Y$18)/(EXP($Y29/$Y$18)+EXP($X29/$Y$18)+EXP($Z29/$Y$18))</f>
        <v>0.97621696818890669</v>
      </c>
      <c r="AB29" s="1154">
        <f t="shared" si="2"/>
        <v>1.1891515905546669E-2</v>
      </c>
      <c r="AC29" s="227">
        <f t="shared" si="3"/>
        <v>1.1891515905546669E-2</v>
      </c>
      <c r="AD29" s="1145">
        <f t="shared" ref="AD29:AD44" si="6">$Y$18*LN(EXP($Y29/$Y$18)+EXP($X29/$Y$18)+EXP($Z29/$Y$18))</f>
        <v>1329.5790246742376</v>
      </c>
      <c r="AE29" s="1147">
        <f>(AD29-AD28)</f>
        <v>999.99533807380476</v>
      </c>
      <c r="AG29" s="7" t="s">
        <v>664</v>
      </c>
      <c r="AH29" s="1157">
        <f>AE29</f>
        <v>999.99533807380476</v>
      </c>
      <c r="AI29" s="7" t="s">
        <v>665</v>
      </c>
      <c r="AJ29" s="7">
        <f>(X29-X28)</f>
        <v>1322.3579005334698</v>
      </c>
      <c r="AK29" s="7" t="s">
        <v>666</v>
      </c>
      <c r="AL29" s="8" t="s">
        <v>667</v>
      </c>
      <c r="AM29" s="1155">
        <v>1</v>
      </c>
      <c r="AN29" s="8" t="s">
        <v>668</v>
      </c>
      <c r="AO29" s="1155">
        <f>AM29*AJ29</f>
        <v>1322.3579005334698</v>
      </c>
      <c r="AP29" s="8" t="s">
        <v>669</v>
      </c>
      <c r="AQ29" s="1156" t="s">
        <v>670</v>
      </c>
      <c r="AR29" s="1159" t="str">
        <f>ROUND((AS29-1),2)&amp;"/1"</f>
        <v>0.32/1</v>
      </c>
      <c r="AS29" s="1158">
        <f>AO29/AH29</f>
        <v>1.3223640652971453</v>
      </c>
      <c r="AT29" s="1164">
        <f>1/AS29</f>
        <v>0.75622139639380803</v>
      </c>
      <c r="AU29" s="744">
        <f>AT29-AA28</f>
        <v>0.42288806306047472</v>
      </c>
      <c r="AV29" s="744">
        <f>AU29/AA28</f>
        <v>1.2686641891814243</v>
      </c>
    </row>
    <row r="30" spans="1:48" s="7" customFormat="1" ht="19.5" thickBot="1" x14ac:dyDescent="0.35">
      <c r="D30" s="25">
        <v>3</v>
      </c>
      <c r="E30" s="453">
        <v>800</v>
      </c>
      <c r="F30" s="826">
        <v>15</v>
      </c>
      <c r="G30" s="229">
        <f t="shared" si="0"/>
        <v>0.54122201116021051</v>
      </c>
      <c r="H30" s="227">
        <f t="shared" si="0"/>
        <v>0.45877798883978949</v>
      </c>
      <c r="I30" s="1145">
        <f t="shared" si="1"/>
        <v>3716.1471343028584</v>
      </c>
      <c r="J30" s="1147">
        <f t="shared" ref="J30:J42" si="7">(I30-I29)</f>
        <v>-575.91614621386952</v>
      </c>
      <c r="L30" s="114">
        <f t="shared" ref="L30:M43" si="8">E30-E29</f>
        <v>-1025</v>
      </c>
      <c r="M30" s="100">
        <f t="shared" si="8"/>
        <v>15</v>
      </c>
      <c r="N30" s="182">
        <f t="shared" si="4"/>
        <v>-575.91614621386952</v>
      </c>
      <c r="P30" s="7" t="str">
        <f t="shared" ref="P30:P43" si="9">IF(L30&gt;0,"Bought ",IF(L30&lt;0,"Sold ",""))&amp;IF(L30&lt;0,L30*-1,IF(L30&gt;0,L30,""))&amp;IF(L30&lt;&gt;0," Shares of State 1 at a cost of "&amp;ROUND($N30,5),"")</f>
        <v>Sold 1025 Shares of State 1 at a cost of -575.91615</v>
      </c>
      <c r="Q30" s="7" t="str">
        <f>IF(M30&gt;0,"Bought ",IF(M30&lt;0,"Sold ",""))&amp;IF(M30&lt;0,M30*-1,IF(M30&gt;0,M30,""))&amp;IF(M30&lt;&gt;0," Shares of State 2 at a cost of "&amp;ROUND($N30,5),"")</f>
        <v>Bought 15 Shares of State 2 at a cost of -575.91615</v>
      </c>
      <c r="R30" s="185"/>
      <c r="V30" s="21"/>
      <c r="W30" s="25">
        <v>3</v>
      </c>
      <c r="X30" s="453">
        <v>800</v>
      </c>
      <c r="Y30" s="1144">
        <v>15</v>
      </c>
      <c r="Z30" s="826">
        <v>15</v>
      </c>
      <c r="AA30" s="229">
        <f t="shared" si="5"/>
        <v>0.87253038832477559</v>
      </c>
      <c r="AB30" s="1154">
        <f t="shared" si="2"/>
        <v>6.3734805837612249E-2</v>
      </c>
      <c r="AC30" s="227">
        <f t="shared" si="3"/>
        <v>6.3734805837612249E-2</v>
      </c>
      <c r="AD30" s="1145">
        <f t="shared" si="6"/>
        <v>840.90733894596212</v>
      </c>
      <c r="AE30" s="1147">
        <f t="shared" ref="AE30:AE36" si="10">(AD30-AD29)</f>
        <v>-488.67168572827552</v>
      </c>
      <c r="AR30" s="1031"/>
      <c r="AS30" s="1135"/>
      <c r="AT30" s="1164"/>
      <c r="AU30" s="744"/>
      <c r="AV30" s="744"/>
    </row>
    <row r="31" spans="1:48" s="7" customFormat="1" ht="19.5" thickBot="1" x14ac:dyDescent="0.35">
      <c r="D31" s="25">
        <v>4</v>
      </c>
      <c r="E31" s="453">
        <v>0</v>
      </c>
      <c r="F31" s="826">
        <v>10</v>
      </c>
      <c r="G31" s="229">
        <f t="shared" si="0"/>
        <v>0.49947368440491807</v>
      </c>
      <c r="H31" s="227">
        <f t="shared" si="0"/>
        <v>0.50052631559508198</v>
      </c>
      <c r="I31" s="1145">
        <f t="shared" si="1"/>
        <v>3297.4517392382013</v>
      </c>
      <c r="J31" s="1147">
        <f t="shared" si="7"/>
        <v>-418.69539506465708</v>
      </c>
      <c r="L31" s="114">
        <f t="shared" si="8"/>
        <v>-800</v>
      </c>
      <c r="M31" s="100">
        <f t="shared" si="8"/>
        <v>-5</v>
      </c>
      <c r="N31" s="182">
        <f t="shared" si="4"/>
        <v>-418.69539506465708</v>
      </c>
      <c r="P31" s="7" t="str">
        <f t="shared" si="9"/>
        <v>Sold 800 Shares of State 1 at a cost of -418.6954</v>
      </c>
      <c r="Q31" s="7" t="str">
        <f t="shared" ref="Q31:Q43" si="11">IF(M31&gt;0,"Bought ",IF(M31&lt;0,"Sold ",""))&amp;IF(M31&lt;0,M31*-1,IF(M31&gt;0,M31,""))&amp;IF(M31&lt;&gt;0," Shares of State 2 at a cost of "&amp;ROUND($N31,5),"")</f>
        <v>Sold 5 Shares of State 2 at a cost of -418.6954</v>
      </c>
      <c r="R31" s="185"/>
      <c r="V31" s="21" t="s">
        <v>679</v>
      </c>
      <c r="W31" s="25">
        <v>4</v>
      </c>
      <c r="X31" s="1162">
        <f>AL21</f>
        <v>1839.5381822605289</v>
      </c>
      <c r="Y31" s="1144">
        <f>Y30</f>
        <v>15</v>
      </c>
      <c r="Z31" s="826">
        <f>Z30</f>
        <v>15</v>
      </c>
      <c r="AA31" s="229">
        <f t="shared" si="5"/>
        <v>0.99545262215039665</v>
      </c>
      <c r="AB31" s="1154">
        <f t="shared" si="2"/>
        <v>2.27368892480168E-3</v>
      </c>
      <c r="AC31" s="227">
        <f t="shared" si="3"/>
        <v>2.27368892480168E-3</v>
      </c>
      <c r="AD31" s="1145">
        <f t="shared" si="6"/>
        <v>1840.9055068477549</v>
      </c>
      <c r="AE31" s="1147">
        <f t="shared" si="10"/>
        <v>999.99816790179273</v>
      </c>
      <c r="AG31" s="7" t="s">
        <v>664</v>
      </c>
      <c r="AH31" s="1157">
        <f>AE31</f>
        <v>999.99816790179273</v>
      </c>
      <c r="AI31" s="7" t="s">
        <v>665</v>
      </c>
      <c r="AJ31" s="7">
        <f>(X31-X30)</f>
        <v>1039.5381822605289</v>
      </c>
      <c r="AK31" s="7" t="s">
        <v>666</v>
      </c>
      <c r="AL31" s="8" t="s">
        <v>667</v>
      </c>
      <c r="AM31" s="1155">
        <v>1</v>
      </c>
      <c r="AN31" s="8" t="s">
        <v>668</v>
      </c>
      <c r="AO31" s="1155">
        <f>AM31*AJ31</f>
        <v>1039.5381822605289</v>
      </c>
      <c r="AP31" s="8" t="s">
        <v>669</v>
      </c>
      <c r="AQ31" s="1156" t="s">
        <v>670</v>
      </c>
      <c r="AR31" s="1159" t="str">
        <f>ROUND((AS31-1),2)&amp;"/1"</f>
        <v>0.04/1</v>
      </c>
      <c r="AS31" s="1158">
        <f>AO31/AH31</f>
        <v>1.0395400868000584</v>
      </c>
      <c r="AT31" s="1164">
        <f>1/AS31</f>
        <v>0.96196386526875377</v>
      </c>
      <c r="AU31" s="744">
        <f>AT31-AA30</f>
        <v>8.9433476943978185E-2</v>
      </c>
      <c r="AV31" s="744">
        <f>AU31/AA30</f>
        <v>0.10249898243164571</v>
      </c>
    </row>
    <row r="32" spans="1:48" s="7" customFormat="1" ht="19.5" thickBot="1" x14ac:dyDescent="0.35">
      <c r="D32" s="25">
        <v>5</v>
      </c>
      <c r="E32" s="453">
        <v>800</v>
      </c>
      <c r="F32" s="826">
        <v>800</v>
      </c>
      <c r="G32" s="229">
        <f t="shared" si="0"/>
        <v>0.5</v>
      </c>
      <c r="H32" s="227">
        <f t="shared" si="0"/>
        <v>0.5</v>
      </c>
      <c r="I32" s="1145">
        <f t="shared" si="1"/>
        <v>4092.4491076597401</v>
      </c>
      <c r="J32" s="1147">
        <f t="shared" si="7"/>
        <v>794.99736842153879</v>
      </c>
      <c r="L32" s="114">
        <f t="shared" si="8"/>
        <v>800</v>
      </c>
      <c r="M32" s="100">
        <f t="shared" si="8"/>
        <v>790</v>
      </c>
      <c r="N32" s="182">
        <f t="shared" si="4"/>
        <v>794.99736842153879</v>
      </c>
      <c r="P32" s="7" t="str">
        <f t="shared" si="9"/>
        <v>Bought 800 Shares of State 1 at a cost of 794.99737</v>
      </c>
      <c r="Q32" s="7" t="str">
        <f t="shared" si="11"/>
        <v>Bought 790 Shares of State 2 at a cost of 794.99737</v>
      </c>
      <c r="R32" s="185"/>
      <c r="V32" s="21"/>
      <c r="W32" s="25">
        <v>5</v>
      </c>
      <c r="X32" s="453">
        <v>200</v>
      </c>
      <c r="Y32" s="1144">
        <v>800</v>
      </c>
      <c r="Z32" s="826">
        <v>800</v>
      </c>
      <c r="AA32" s="229">
        <f t="shared" si="5"/>
        <v>6.3378938333037621E-2</v>
      </c>
      <c r="AB32" s="1154">
        <f t="shared" si="2"/>
        <v>0.46831053083348118</v>
      </c>
      <c r="AC32" s="227">
        <f t="shared" si="3"/>
        <v>0.46831053083348118</v>
      </c>
      <c r="AD32" s="1145">
        <f t="shared" si="6"/>
        <v>1027.587102703854</v>
      </c>
      <c r="AE32" s="1147">
        <f t="shared" si="10"/>
        <v>-813.31840414390081</v>
      </c>
      <c r="AH32" s="1157"/>
      <c r="AL32" s="8"/>
      <c r="AM32" s="1155"/>
      <c r="AN32" s="8"/>
      <c r="AO32" s="1155"/>
      <c r="AP32" s="8"/>
      <c r="AQ32" s="1156"/>
      <c r="AR32" s="1159"/>
      <c r="AS32" s="1158"/>
      <c r="AT32" s="1164"/>
      <c r="AU32" s="744"/>
      <c r="AV32" s="744"/>
    </row>
    <row r="33" spans="2:48" s="7" customFormat="1" ht="19.5" thickBot="1" x14ac:dyDescent="0.35">
      <c r="D33" s="25">
        <v>6</v>
      </c>
      <c r="E33" s="453">
        <v>2017.3895055235701</v>
      </c>
      <c r="F33" s="826">
        <v>800</v>
      </c>
      <c r="G33" s="229">
        <f t="shared" si="0"/>
        <v>0.56372469552930893</v>
      </c>
      <c r="H33" s="227">
        <f t="shared" si="0"/>
        <v>0.43627530447069096</v>
      </c>
      <c r="I33" s="1145">
        <f t="shared" si="1"/>
        <v>4740.038562494181</v>
      </c>
      <c r="J33" s="1147">
        <f t="shared" si="7"/>
        <v>647.58945483444086</v>
      </c>
      <c r="L33" s="114">
        <f t="shared" si="8"/>
        <v>1217.3895055235701</v>
      </c>
      <c r="M33" s="100">
        <f t="shared" si="8"/>
        <v>0</v>
      </c>
      <c r="N33" s="182">
        <f t="shared" si="4"/>
        <v>647.58945483444086</v>
      </c>
      <c r="P33" s="7" t="str">
        <f t="shared" si="9"/>
        <v>Bought 1217.38950552357 Shares of State 1 at a cost of 647.58945</v>
      </c>
      <c r="Q33" s="7" t="str">
        <f t="shared" si="11"/>
        <v/>
      </c>
      <c r="R33" s="185"/>
      <c r="V33" s="21" t="s">
        <v>680</v>
      </c>
      <c r="W33" s="25">
        <v>6</v>
      </c>
      <c r="X33" s="1162">
        <f>AL22</f>
        <v>2017.3895055235714</v>
      </c>
      <c r="Y33" s="1144">
        <f>Y32</f>
        <v>800</v>
      </c>
      <c r="Z33" s="826">
        <f>Z32</f>
        <v>800</v>
      </c>
      <c r="AA33" s="229">
        <f t="shared" si="5"/>
        <v>0.96658672785339816</v>
      </c>
      <c r="AB33" s="1154">
        <f t="shared" si="2"/>
        <v>1.6706636073300918E-2</v>
      </c>
      <c r="AC33" s="227">
        <f t="shared" si="3"/>
        <v>1.6706636073300918E-2</v>
      </c>
      <c r="AD33" s="1145">
        <f t="shared" si="6"/>
        <v>2027.5847806493312</v>
      </c>
      <c r="AE33" s="1147">
        <f t="shared" si="10"/>
        <v>999.99767794547711</v>
      </c>
      <c r="AG33" s="7" t="s">
        <v>664</v>
      </c>
      <c r="AH33" s="1157">
        <f>AE33</f>
        <v>999.99767794547711</v>
      </c>
      <c r="AI33" s="7" t="s">
        <v>665</v>
      </c>
      <c r="AJ33" s="7">
        <f>(X33-X32)</f>
        <v>1817.3895055235714</v>
      </c>
      <c r="AK33" s="7" t="s">
        <v>666</v>
      </c>
      <c r="AL33" s="8" t="s">
        <v>667</v>
      </c>
      <c r="AM33" s="1155">
        <v>1</v>
      </c>
      <c r="AN33" s="8" t="s">
        <v>668</v>
      </c>
      <c r="AO33" s="1155">
        <f>AM33*AJ33</f>
        <v>1817.3895055235714</v>
      </c>
      <c r="AP33" s="8" t="s">
        <v>669</v>
      </c>
      <c r="AQ33" s="1156" t="s">
        <v>670</v>
      </c>
      <c r="AR33" s="1159" t="str">
        <f>ROUND((AS33-1),2)&amp;"/1"</f>
        <v>0.82/1</v>
      </c>
      <c r="AS33" s="1158">
        <f>AO33/AH33</f>
        <v>1.8173937256108919</v>
      </c>
      <c r="AT33" s="1164">
        <f>1/AS33</f>
        <v>0.550238501381347</v>
      </c>
      <c r="AU33" s="744">
        <f>AT33-AA32</f>
        <v>0.48685956304830935</v>
      </c>
      <c r="AV33" s="744">
        <f>AU33/AA32</f>
        <v>7.6817248103779523</v>
      </c>
    </row>
    <row r="34" spans="2:48" s="7" customFormat="1" ht="19.5" thickBot="1" x14ac:dyDescent="0.35">
      <c r="D34" s="25">
        <v>7</v>
      </c>
      <c r="E34" s="453">
        <v>10000</v>
      </c>
      <c r="F34" s="826">
        <v>0</v>
      </c>
      <c r="G34" s="229">
        <f t="shared" si="0"/>
        <v>0.89141367840953945</v>
      </c>
      <c r="H34" s="227">
        <f t="shared" si="0"/>
        <v>0.10858632159046053</v>
      </c>
      <c r="I34" s="1145">
        <f t="shared" si="1"/>
        <v>10545.996700198093</v>
      </c>
      <c r="J34" s="1147">
        <f t="shared" si="7"/>
        <v>5805.9581377039121</v>
      </c>
      <c r="L34" s="114">
        <f t="shared" si="8"/>
        <v>7982.6104944764302</v>
      </c>
      <c r="M34" s="100">
        <f t="shared" si="8"/>
        <v>-800</v>
      </c>
      <c r="N34" s="182">
        <f t="shared" si="4"/>
        <v>5805.9581377039121</v>
      </c>
      <c r="P34" s="7" t="str">
        <f t="shared" si="9"/>
        <v>Bought 7982.61049447643 Shares of State 1 at a cost of 5805.95814</v>
      </c>
      <c r="Q34" s="7" t="str">
        <f t="shared" si="11"/>
        <v>Sold 800 Shares of State 2 at a cost of 5805.95814</v>
      </c>
      <c r="R34" s="185"/>
      <c r="V34" s="21"/>
      <c r="W34" s="25">
        <v>7</v>
      </c>
      <c r="X34" s="453">
        <v>10000</v>
      </c>
      <c r="Y34" s="1144">
        <v>0</v>
      </c>
      <c r="Z34" s="826">
        <v>0</v>
      </c>
      <c r="AA34" s="229">
        <f t="shared" si="5"/>
        <v>0.99999999999999334</v>
      </c>
      <c r="AB34" s="1154">
        <f t="shared" si="2"/>
        <v>3.338237795364976E-15</v>
      </c>
      <c r="AC34" s="227">
        <f t="shared" si="3"/>
        <v>3.338237795364976E-15</v>
      </c>
      <c r="AD34" s="1145">
        <f t="shared" si="6"/>
        <v>10000.000000000004</v>
      </c>
      <c r="AE34" s="1147">
        <f t="shared" si="10"/>
        <v>7972.4152193506725</v>
      </c>
      <c r="AR34" s="1031"/>
      <c r="AS34" s="1135"/>
      <c r="AT34" s="931"/>
      <c r="AU34" s="744"/>
      <c r="AV34" s="744"/>
    </row>
    <row r="35" spans="2:48" s="7" customFormat="1" ht="19.5" thickBot="1" x14ac:dyDescent="0.35">
      <c r="D35" s="25">
        <v>8</v>
      </c>
      <c r="E35" s="453">
        <v>10999.990127057465</v>
      </c>
      <c r="F35" s="826">
        <v>0</v>
      </c>
      <c r="G35" s="229">
        <f t="shared" si="0"/>
        <v>0.91017613145856624</v>
      </c>
      <c r="H35" s="227">
        <f t="shared" si="0"/>
        <v>8.9823868541433718E-2</v>
      </c>
      <c r="I35" s="1145">
        <f t="shared" si="1"/>
        <v>11447.046576003151</v>
      </c>
      <c r="J35" s="1147">
        <f t="shared" si="7"/>
        <v>901.04987580505804</v>
      </c>
      <c r="L35" s="114">
        <f t="shared" si="8"/>
        <v>999.99012705746463</v>
      </c>
      <c r="M35" s="100">
        <f t="shared" si="8"/>
        <v>0</v>
      </c>
      <c r="N35" s="182">
        <f t="shared" si="4"/>
        <v>901.04987580505804</v>
      </c>
      <c r="P35" s="7" t="str">
        <f t="shared" si="9"/>
        <v>Bought 999.990127057465 Shares of State 1 at a cost of 901.04988</v>
      </c>
      <c r="Q35" s="7" t="str">
        <f t="shared" si="11"/>
        <v/>
      </c>
      <c r="R35" s="185"/>
      <c r="V35" s="21" t="s">
        <v>681</v>
      </c>
      <c r="W35" s="25">
        <v>8</v>
      </c>
      <c r="X35" s="1162">
        <f>AL23</f>
        <v>10999.990127057465</v>
      </c>
      <c r="Y35" s="1144">
        <f>Y34</f>
        <v>0</v>
      </c>
      <c r="Z35" s="826">
        <f>Z34</f>
        <v>0</v>
      </c>
      <c r="AA35" s="229">
        <f t="shared" si="5"/>
        <v>0.99999999999999978</v>
      </c>
      <c r="AB35" s="1154">
        <f t="shared" si="2"/>
        <v>1.1909219214013776E-16</v>
      </c>
      <c r="AC35" s="227">
        <f t="shared" si="3"/>
        <v>1.1909219214013776E-16</v>
      </c>
      <c r="AD35" s="1145">
        <f t="shared" si="6"/>
        <v>10999.990127057465</v>
      </c>
      <c r="AE35" s="1147">
        <f t="shared" si="10"/>
        <v>999.990127057461</v>
      </c>
      <c r="AG35" s="7" t="s">
        <v>664</v>
      </c>
      <c r="AH35" s="1157">
        <f>AE35</f>
        <v>999.990127057461</v>
      </c>
      <c r="AI35" s="7" t="s">
        <v>665</v>
      </c>
      <c r="AJ35" s="7">
        <f>(X35-X34)</f>
        <v>999.99012705746463</v>
      </c>
      <c r="AK35" s="7" t="s">
        <v>666</v>
      </c>
      <c r="AL35" s="8" t="s">
        <v>667</v>
      </c>
      <c r="AM35" s="1155">
        <v>1</v>
      </c>
      <c r="AN35" s="8" t="s">
        <v>668</v>
      </c>
      <c r="AO35" s="1155">
        <f>AM35*AJ35</f>
        <v>999.99012705746463</v>
      </c>
      <c r="AP35" s="8" t="s">
        <v>669</v>
      </c>
      <c r="AQ35" s="1156" t="s">
        <v>670</v>
      </c>
      <c r="AR35" s="1159" t="str">
        <f>ROUND((AS35-1),2)&amp;"/1"</f>
        <v>0/1</v>
      </c>
      <c r="AS35" s="1158">
        <f>AO35/AH35</f>
        <v>1.0000000000000036</v>
      </c>
      <c r="AT35" s="931">
        <f>1/AS35</f>
        <v>0.99999999999999645</v>
      </c>
      <c r="AU35" s="744">
        <f>AT35-AA34</f>
        <v>3.1086244689504383E-15</v>
      </c>
      <c r="AV35" s="744">
        <f>AU35/AA34</f>
        <v>3.1086244689504588E-15</v>
      </c>
    </row>
    <row r="36" spans="2:48" s="7" customFormat="1" ht="18.75" x14ac:dyDescent="0.3">
      <c r="D36" s="25">
        <v>9</v>
      </c>
      <c r="E36" s="453">
        <v>39</v>
      </c>
      <c r="F36" s="826">
        <v>5</v>
      </c>
      <c r="G36" s="229">
        <f t="shared" si="0"/>
        <v>0.50178946604387453</v>
      </c>
      <c r="H36" s="227">
        <f t="shared" si="0"/>
        <v>0.49821053395612552</v>
      </c>
      <c r="I36" s="1145">
        <f t="shared" si="1"/>
        <v>3314.4795286474296</v>
      </c>
      <c r="J36" s="1147">
        <f t="shared" si="7"/>
        <v>-8132.567047355722</v>
      </c>
      <c r="L36" s="114">
        <f t="shared" si="8"/>
        <v>-10960.990127057465</v>
      </c>
      <c r="M36" s="100">
        <f t="shared" si="8"/>
        <v>5</v>
      </c>
      <c r="N36" s="182">
        <f t="shared" si="4"/>
        <v>-8132.567047355722</v>
      </c>
      <c r="P36" s="7" t="str">
        <f t="shared" si="9"/>
        <v>Sold 10960.9901270575 Shares of State 1 at a cost of -8132.56705</v>
      </c>
      <c r="Q36" s="7" t="str">
        <f t="shared" si="11"/>
        <v>Bought 5 Shares of State 2 at a cost of -8132.56705</v>
      </c>
      <c r="R36" s="185"/>
      <c r="W36" s="25">
        <v>9</v>
      </c>
      <c r="X36" s="453">
        <v>39</v>
      </c>
      <c r="Y36" s="1144">
        <v>5</v>
      </c>
      <c r="Z36" s="826">
        <v>43</v>
      </c>
      <c r="AA36" s="229">
        <f t="shared" si="5"/>
        <v>0.3440829892598859</v>
      </c>
      <c r="AB36" s="1154">
        <f t="shared" si="2"/>
        <v>0.30721552674715075</v>
      </c>
      <c r="AC36" s="227">
        <f t="shared" si="3"/>
        <v>0.34870148399296341</v>
      </c>
      <c r="AD36" s="1145">
        <f t="shared" si="6"/>
        <v>359.06172085674478</v>
      </c>
      <c r="AE36" s="1147">
        <f t="shared" si="10"/>
        <v>-10640.928406200719</v>
      </c>
      <c r="AH36" s="1157"/>
      <c r="AL36" s="8"/>
      <c r="AM36" s="1155"/>
      <c r="AN36" s="8"/>
      <c r="AO36" s="1155"/>
      <c r="AP36" s="8"/>
      <c r="AQ36" s="1156"/>
      <c r="AR36" s="1158"/>
      <c r="AS36" s="1158"/>
      <c r="AV36" s="744"/>
    </row>
    <row r="37" spans="2:48" s="7" customFormat="1" ht="18.75" x14ac:dyDescent="0.3">
      <c r="D37" s="25">
        <v>10</v>
      </c>
      <c r="E37" s="453">
        <v>57</v>
      </c>
      <c r="F37" s="826">
        <v>12</v>
      </c>
      <c r="G37" s="229">
        <f t="shared" si="0"/>
        <v>0.50236840333883803</v>
      </c>
      <c r="H37" s="227">
        <f t="shared" si="0"/>
        <v>0.4976315966611618</v>
      </c>
      <c r="I37" s="1145">
        <f t="shared" si="1"/>
        <v>3327.0023969341446</v>
      </c>
      <c r="J37" s="1147">
        <f>(I37-I36)</f>
        <v>12.522868286715038</v>
      </c>
      <c r="L37" s="114">
        <f t="shared" si="8"/>
        <v>18</v>
      </c>
      <c r="M37" s="100">
        <f t="shared" si="8"/>
        <v>7</v>
      </c>
      <c r="N37" s="182">
        <f t="shared" si="4"/>
        <v>12.522868286715038</v>
      </c>
      <c r="P37" s="7" t="str">
        <f t="shared" si="9"/>
        <v>Bought 18 Shares of State 1 at a cost of 12.52287</v>
      </c>
      <c r="Q37" s="7" t="str">
        <f t="shared" si="11"/>
        <v>Bought 7 Shares of State 2 at a cost of 12.52287</v>
      </c>
      <c r="R37" s="185"/>
      <c r="W37" s="25">
        <v>10</v>
      </c>
      <c r="X37" s="453">
        <v>57</v>
      </c>
      <c r="Y37" s="1144">
        <v>12</v>
      </c>
      <c r="Z37" s="826">
        <v>43</v>
      </c>
      <c r="AA37" s="229">
        <f t="shared" si="5"/>
        <v>0.35522546979848058</v>
      </c>
      <c r="AB37" s="1154">
        <f t="shared" si="2"/>
        <v>0.3057453952848907</v>
      </c>
      <c r="AC37" s="227">
        <f t="shared" si="3"/>
        <v>0.33902913491662884</v>
      </c>
      <c r="AD37" s="1145">
        <f t="shared" si="6"/>
        <v>367.50076947632976</v>
      </c>
      <c r="AE37" s="1147">
        <f t="shared" ref="AE37:AE43" si="12">(AD37-AD36)</f>
        <v>8.4390486195849803</v>
      </c>
      <c r="AV37" s="744"/>
    </row>
    <row r="38" spans="2:48" s="7" customFormat="1" ht="18.75" x14ac:dyDescent="0.3">
      <c r="D38" s="25">
        <v>11</v>
      </c>
      <c r="E38" s="453">
        <v>0</v>
      </c>
      <c r="F38" s="826">
        <v>0</v>
      </c>
      <c r="G38" s="229">
        <f t="shared" si="0"/>
        <v>0.5</v>
      </c>
      <c r="H38" s="227">
        <f t="shared" si="0"/>
        <v>0.5</v>
      </c>
      <c r="I38" s="1145">
        <f t="shared" si="1"/>
        <v>3292.4491076597401</v>
      </c>
      <c r="J38" s="1147">
        <f t="shared" si="7"/>
        <v>-34.553289274404506</v>
      </c>
      <c r="L38" s="114">
        <f t="shared" si="8"/>
        <v>-57</v>
      </c>
      <c r="M38" s="100">
        <f t="shared" si="8"/>
        <v>-12</v>
      </c>
      <c r="N38" s="182">
        <f t="shared" si="4"/>
        <v>-34.553289274404506</v>
      </c>
      <c r="P38" s="7" t="str">
        <f t="shared" si="9"/>
        <v>Sold 57 Shares of State 1 at a cost of -34.55329</v>
      </c>
      <c r="Q38" s="7" t="str">
        <f t="shared" si="11"/>
        <v>Sold 12 Shares of State 2 at a cost of -34.55329</v>
      </c>
      <c r="R38" s="185"/>
      <c r="W38" s="25">
        <v>11</v>
      </c>
      <c r="X38" s="453">
        <v>0</v>
      </c>
      <c r="Y38" s="1144">
        <v>0</v>
      </c>
      <c r="Z38" s="826">
        <v>0</v>
      </c>
      <c r="AA38" s="229">
        <f t="shared" si="5"/>
        <v>0.33333333333333331</v>
      </c>
      <c r="AB38" s="1154">
        <f t="shared" si="2"/>
        <v>0.33333333333333331</v>
      </c>
      <c r="AC38" s="227">
        <f t="shared" si="3"/>
        <v>0.33333333333333331</v>
      </c>
      <c r="AD38" s="1145">
        <f t="shared" si="6"/>
        <v>329.58368660043294</v>
      </c>
      <c r="AE38" s="1147">
        <f t="shared" si="12"/>
        <v>-37.917082875896824</v>
      </c>
    </row>
    <row r="39" spans="2:48" s="7" customFormat="1" ht="18.75" x14ac:dyDescent="0.3">
      <c r="D39" s="25">
        <v>12</v>
      </c>
      <c r="E39" s="453">
        <v>8000</v>
      </c>
      <c r="F39" s="826">
        <v>0</v>
      </c>
      <c r="G39" s="229">
        <f t="shared" si="0"/>
        <v>0.84346126955269995</v>
      </c>
      <c r="H39" s="227">
        <f t="shared" si="0"/>
        <v>0.15653873044730005</v>
      </c>
      <c r="I39" s="1145">
        <f t="shared" si="1"/>
        <v>8808.646148435646</v>
      </c>
      <c r="J39" s="1147">
        <f t="shared" si="7"/>
        <v>5516.1970407759054</v>
      </c>
      <c r="L39" s="114">
        <f t="shared" si="8"/>
        <v>8000</v>
      </c>
      <c r="M39" s="100">
        <f t="shared" si="8"/>
        <v>0</v>
      </c>
      <c r="N39" s="182">
        <f t="shared" si="4"/>
        <v>5516.1970407759054</v>
      </c>
      <c r="P39" s="7" t="str">
        <f t="shared" si="9"/>
        <v>Bought 8000 Shares of State 1 at a cost of 5516.19704</v>
      </c>
      <c r="Q39" s="7" t="str">
        <f t="shared" si="11"/>
        <v/>
      </c>
      <c r="R39" s="185"/>
      <c r="W39" s="25">
        <v>12</v>
      </c>
      <c r="X39" s="453">
        <v>8000</v>
      </c>
      <c r="Y39" s="1144">
        <v>0</v>
      </c>
      <c r="Z39" s="826">
        <v>0</v>
      </c>
      <c r="AA39" s="229">
        <f t="shared" si="5"/>
        <v>0.99999999999475386</v>
      </c>
      <c r="AB39" s="1154">
        <f t="shared" si="2"/>
        <v>2.6230937696555332E-12</v>
      </c>
      <c r="AC39" s="227">
        <f t="shared" si="3"/>
        <v>2.6230937696555332E-12</v>
      </c>
      <c r="AD39" s="1145">
        <f t="shared" si="6"/>
        <v>8000.0000000015743</v>
      </c>
      <c r="AE39" s="1147">
        <f t="shared" si="12"/>
        <v>7670.4163134011415</v>
      </c>
      <c r="AL39" s="1135" t="s">
        <v>683</v>
      </c>
      <c r="AM39" s="1135"/>
      <c r="AN39" s="1135" t="s">
        <v>684</v>
      </c>
    </row>
    <row r="40" spans="2:48" s="7" customFormat="1" ht="18.75" x14ac:dyDescent="0.3">
      <c r="D40" s="25">
        <v>13</v>
      </c>
      <c r="E40" s="453">
        <v>6999.9934841833401</v>
      </c>
      <c r="F40" s="826">
        <v>0</v>
      </c>
      <c r="G40" s="229">
        <f t="shared" si="0"/>
        <v>0.81361651410763614</v>
      </c>
      <c r="H40" s="227">
        <f t="shared" si="0"/>
        <v>0.18638348589236392</v>
      </c>
      <c r="I40" s="1145">
        <f t="shared" si="1"/>
        <v>7979.7576343539467</v>
      </c>
      <c r="J40" s="1147">
        <f t="shared" si="7"/>
        <v>-828.88851408169921</v>
      </c>
      <c r="L40" s="114">
        <f t="shared" si="8"/>
        <v>-1000.0065158166599</v>
      </c>
      <c r="M40" s="100">
        <f t="shared" si="8"/>
        <v>0</v>
      </c>
      <c r="N40" s="182">
        <f t="shared" si="4"/>
        <v>-828.88851408169921</v>
      </c>
      <c r="P40" s="7" t="str">
        <f t="shared" si="9"/>
        <v>Sold 1000.00651581666 Shares of State 1 at a cost of -828.88851</v>
      </c>
      <c r="Q40" s="7" t="str">
        <f t="shared" si="11"/>
        <v/>
      </c>
      <c r="R40" s="185"/>
      <c r="W40" s="25">
        <v>13</v>
      </c>
      <c r="X40" s="453">
        <f>AL24</f>
        <v>6999.9934841833401</v>
      </c>
      <c r="Y40" s="1144">
        <f>Y39</f>
        <v>0</v>
      </c>
      <c r="Z40" s="826">
        <f>Z39</f>
        <v>0</v>
      </c>
      <c r="AA40" s="229">
        <f t="shared" si="5"/>
        <v>0.99999999985293764</v>
      </c>
      <c r="AB40" s="1154">
        <f t="shared" si="2"/>
        <v>7.3531177638622418E-11</v>
      </c>
      <c r="AC40" s="227">
        <f t="shared" si="3"/>
        <v>7.3531177638622418E-11</v>
      </c>
      <c r="AD40" s="1145">
        <f t="shared" si="6"/>
        <v>6999.9934842274588</v>
      </c>
      <c r="AE40" s="1147">
        <f t="shared" si="12"/>
        <v>-1000.0065157741155</v>
      </c>
      <c r="AG40" s="7" t="s">
        <v>685</v>
      </c>
      <c r="AH40" s="1157">
        <f>-AE40</f>
        <v>1000.0065157741155</v>
      </c>
      <c r="AI40" s="7" t="s">
        <v>682</v>
      </c>
      <c r="AJ40" s="7">
        <f>-(X40-X39)</f>
        <v>1000.0065158166599</v>
      </c>
      <c r="AK40" s="7" t="s">
        <v>666</v>
      </c>
      <c r="AL40" s="1071">
        <f>AA39</f>
        <v>0.99999999999475386</v>
      </c>
      <c r="AM40" s="744"/>
      <c r="AN40" s="1071">
        <f>AH40/AJ40</f>
        <v>0.99999999995745592</v>
      </c>
      <c r="AO40" s="1155"/>
      <c r="AP40" s="8"/>
      <c r="AQ40" s="1156" t="s">
        <v>670</v>
      </c>
      <c r="AR40" s="1159"/>
      <c r="AS40" s="1158"/>
      <c r="AT40" s="931"/>
      <c r="AU40" s="744">
        <f>AN40-AL40</f>
        <v>-3.7297942512282134E-11</v>
      </c>
      <c r="AV40" s="744">
        <f>AU40/AA39</f>
        <v>-3.7297942512477801E-11</v>
      </c>
    </row>
    <row r="41" spans="2:48" s="7" customFormat="1" ht="18.75" x14ac:dyDescent="0.3">
      <c r="D41" s="25">
        <v>14</v>
      </c>
      <c r="E41" s="453">
        <v>2500</v>
      </c>
      <c r="F41" s="826">
        <v>8000</v>
      </c>
      <c r="G41" s="229">
        <f t="shared" si="0"/>
        <v>0.23905003288236595</v>
      </c>
      <c r="H41" s="227">
        <f t="shared" si="0"/>
        <v>0.76094996711763407</v>
      </c>
      <c r="I41" s="1145">
        <f t="shared" si="1"/>
        <v>9297.6414301895275</v>
      </c>
      <c r="J41" s="1147">
        <f t="shared" si="7"/>
        <v>1317.8837958355807</v>
      </c>
      <c r="L41" s="114">
        <f t="shared" si="8"/>
        <v>-4499.9934841833401</v>
      </c>
      <c r="M41" s="100">
        <f t="shared" si="8"/>
        <v>8000</v>
      </c>
      <c r="N41" s="182">
        <f t="shared" si="4"/>
        <v>1317.8837958355807</v>
      </c>
      <c r="P41" s="7" t="str">
        <f t="shared" si="9"/>
        <v>Sold 4499.99348418334 Shares of State 1 at a cost of 1317.8838</v>
      </c>
      <c r="Q41" s="7" t="str">
        <f t="shared" si="11"/>
        <v>Bought 8000 Shares of State 2 at a cost of 1317.8838</v>
      </c>
      <c r="R41" s="185"/>
      <c r="W41" s="25">
        <v>14</v>
      </c>
      <c r="X41" s="453">
        <v>2500</v>
      </c>
      <c r="Y41" s="1144">
        <v>8000</v>
      </c>
      <c r="Z41" s="826">
        <v>8000</v>
      </c>
      <c r="AA41" s="229">
        <f t="shared" si="5"/>
        <v>5.456378643473531E-9</v>
      </c>
      <c r="AB41" s="1154">
        <f t="shared" si="2"/>
        <v>0.49999999727181071</v>
      </c>
      <c r="AC41" s="227">
        <f t="shared" si="3"/>
        <v>0.49999999727181071</v>
      </c>
      <c r="AD41" s="1145">
        <f t="shared" si="6"/>
        <v>8207.9441558048984</v>
      </c>
      <c r="AE41" s="1147">
        <f t="shared" si="12"/>
        <v>1207.9506715774396</v>
      </c>
    </row>
    <row r="42" spans="2:48" s="7" customFormat="1" ht="18.75" x14ac:dyDescent="0.3">
      <c r="D42" s="25">
        <v>15</v>
      </c>
      <c r="E42" s="453">
        <v>0</v>
      </c>
      <c r="F42" s="826">
        <v>8000</v>
      </c>
      <c r="G42" s="229">
        <f t="shared" si="0"/>
        <v>0.15653873044730005</v>
      </c>
      <c r="H42" s="227">
        <f t="shared" si="0"/>
        <v>0.84346126955269995</v>
      </c>
      <c r="I42" s="1145">
        <f t="shared" si="1"/>
        <v>8808.646148435646</v>
      </c>
      <c r="J42" s="1147">
        <f t="shared" si="7"/>
        <v>-488.9952817538815</v>
      </c>
      <c r="L42" s="114">
        <f t="shared" si="8"/>
        <v>-2500</v>
      </c>
      <c r="M42" s="100">
        <f t="shared" si="8"/>
        <v>0</v>
      </c>
      <c r="N42" s="182">
        <f t="shared" si="4"/>
        <v>-488.9952817538815</v>
      </c>
      <c r="P42" s="7" t="str">
        <f t="shared" si="9"/>
        <v>Sold 2500 Shares of State 1 at a cost of -488.99528</v>
      </c>
      <c r="Q42" s="7" t="str">
        <f t="shared" si="11"/>
        <v/>
      </c>
      <c r="R42" s="185"/>
      <c r="W42" s="25">
        <v>15</v>
      </c>
      <c r="X42" s="453">
        <f>AL25</f>
        <v>0</v>
      </c>
      <c r="Y42" s="1144">
        <f>Y41</f>
        <v>8000</v>
      </c>
      <c r="Z42" s="826">
        <f>Z41</f>
        <v>8000</v>
      </c>
      <c r="AA42" s="229">
        <f t="shared" si="5"/>
        <v>1.3115468848329272E-12</v>
      </c>
      <c r="AB42" s="1154">
        <f t="shared" si="2"/>
        <v>0.49999999999934425</v>
      </c>
      <c r="AC42" s="227">
        <f t="shared" si="3"/>
        <v>0.49999999999934425</v>
      </c>
      <c r="AD42" s="1145">
        <f t="shared" si="6"/>
        <v>8207.9441541683773</v>
      </c>
      <c r="AE42" s="1147">
        <f t="shared" si="12"/>
        <v>-1.636521119507961E-6</v>
      </c>
      <c r="AG42" s="7" t="s">
        <v>685</v>
      </c>
      <c r="AH42" s="1157">
        <f>-AE42</f>
        <v>1.636521119507961E-6</v>
      </c>
      <c r="AI42" s="7" t="s">
        <v>682</v>
      </c>
      <c r="AJ42" s="7">
        <f>-(X42-X41)</f>
        <v>2500</v>
      </c>
      <c r="AK42" s="7" t="s">
        <v>666</v>
      </c>
      <c r="AL42" s="1071">
        <f>AA41</f>
        <v>5.456378643473531E-9</v>
      </c>
      <c r="AM42" s="744"/>
      <c r="AN42" s="1071">
        <f>AH42/AJ42</f>
        <v>6.5460844780318438E-10</v>
      </c>
      <c r="AO42" s="1155"/>
      <c r="AP42" s="8"/>
      <c r="AQ42" s="1156" t="s">
        <v>670</v>
      </c>
      <c r="AR42" s="1159"/>
      <c r="AS42" s="1158"/>
      <c r="AT42" s="931"/>
      <c r="AU42" s="744">
        <f>AN42-AL42</f>
        <v>-4.8017701956703465E-9</v>
      </c>
      <c r="AV42" s="744">
        <f>AU42/AA41</f>
        <v>-0.8800287717227665</v>
      </c>
    </row>
    <row r="43" spans="2:48" s="7" customFormat="1" ht="19.5" thickBot="1" x14ac:dyDescent="0.35">
      <c r="D43" s="25">
        <v>16</v>
      </c>
      <c r="E43" s="453">
        <v>42</v>
      </c>
      <c r="F43" s="826">
        <v>0</v>
      </c>
      <c r="G43" s="229">
        <f t="shared" si="0"/>
        <v>0.50221051191380262</v>
      </c>
      <c r="H43" s="1148">
        <f t="shared" si="0"/>
        <v>0.49778948808619733</v>
      </c>
      <c r="I43" s="1149">
        <f t="shared" si="1"/>
        <v>3313.4955285611504</v>
      </c>
      <c r="J43" s="1150">
        <f>(I43-I42)</f>
        <v>-5495.1506198744955</v>
      </c>
      <c r="L43" s="119">
        <f t="shared" si="8"/>
        <v>42</v>
      </c>
      <c r="M43" s="102">
        <f t="shared" si="8"/>
        <v>-8000</v>
      </c>
      <c r="N43" s="182">
        <f t="shared" si="4"/>
        <v>-5495.1506198744955</v>
      </c>
      <c r="P43" s="7" t="str">
        <f t="shared" si="9"/>
        <v>Bought 42 Shares of State 1 at a cost of -5495.15062</v>
      </c>
      <c r="Q43" s="7" t="str">
        <f t="shared" si="11"/>
        <v>Sold 8000 Shares of State 2 at a cost of -5495.15062</v>
      </c>
      <c r="R43" s="185"/>
      <c r="W43" s="25">
        <v>16</v>
      </c>
      <c r="X43" s="453">
        <v>42</v>
      </c>
      <c r="Y43" s="1144">
        <v>0</v>
      </c>
      <c r="Z43" s="826">
        <v>4</v>
      </c>
      <c r="AA43" s="229">
        <f t="shared" si="5"/>
        <v>0.36358539097128778</v>
      </c>
      <c r="AB43" s="1154">
        <f t="shared" si="2"/>
        <v>0.31608595391158362</v>
      </c>
      <c r="AC43" s="1148">
        <f t="shared" si="3"/>
        <v>0.32032865511712855</v>
      </c>
      <c r="AD43" s="1149">
        <f t="shared" si="6"/>
        <v>345.52232889985447</v>
      </c>
      <c r="AE43" s="1150">
        <f t="shared" si="12"/>
        <v>-7862.4218252685232</v>
      </c>
    </row>
    <row r="44" spans="2:48" s="7" customFormat="1" ht="19.5" thickBot="1" x14ac:dyDescent="0.35">
      <c r="D44" s="25" t="s">
        <v>97</v>
      </c>
      <c r="E44" s="376">
        <v>42</v>
      </c>
      <c r="F44" s="373">
        <v>0</v>
      </c>
      <c r="G44" s="1133">
        <v>1</v>
      </c>
      <c r="H44" s="1134">
        <v>0</v>
      </c>
      <c r="I44" s="1152">
        <f t="shared" si="1"/>
        <v>3313.4955285611504</v>
      </c>
      <c r="J44" s="1075" t="s">
        <v>128</v>
      </c>
      <c r="Q44" s="8"/>
      <c r="R44" s="243"/>
      <c r="S44" s="8"/>
      <c r="W44" s="25" t="s">
        <v>97</v>
      </c>
      <c r="X44" s="376">
        <v>42</v>
      </c>
      <c r="Y44" s="1151">
        <v>0</v>
      </c>
      <c r="Z44" s="373">
        <v>4</v>
      </c>
      <c r="AA44" s="1133">
        <v>1</v>
      </c>
      <c r="AB44" s="1153"/>
      <c r="AC44" s="1134">
        <v>0</v>
      </c>
      <c r="AD44" s="1152">
        <f t="shared" si="6"/>
        <v>345.52232889985447</v>
      </c>
      <c r="AE44" s="1075" t="s">
        <v>128</v>
      </c>
    </row>
    <row r="45" spans="2:48" s="7" customFormat="1" ht="18.75" x14ac:dyDescent="0.3">
      <c r="D45"/>
      <c r="E45" s="274"/>
      <c r="F45" s="1020"/>
      <c r="G45" s="1135"/>
      <c r="H45" s="84"/>
      <c r="I45" s="813">
        <f>SUMPRODUCT(G44:H44,E44:F44)</f>
        <v>42</v>
      </c>
      <c r="J45" s="84" t="s">
        <v>109</v>
      </c>
      <c r="Q45"/>
      <c r="R45" s="185"/>
      <c r="S45"/>
      <c r="W45"/>
      <c r="X45" s="274"/>
      <c r="Y45" s="274"/>
      <c r="Z45" s="1020"/>
      <c r="AA45" s="1135"/>
      <c r="AB45" s="1135"/>
      <c r="AC45" s="84"/>
      <c r="AD45" s="813">
        <f>SUMPRODUCT(AA44:AC44,X44:Z44)</f>
        <v>42</v>
      </c>
      <c r="AE45" s="84" t="s">
        <v>109</v>
      </c>
    </row>
    <row r="46" spans="2:48" s="7" customFormat="1" ht="18.75" x14ac:dyDescent="0.3">
      <c r="E46" s="1135"/>
      <c r="F46" s="931"/>
      <c r="G46" s="1135"/>
      <c r="H46" s="1135"/>
      <c r="I46" s="813">
        <f>I44-I45</f>
        <v>3271.4955285611504</v>
      </c>
      <c r="J46" s="1135" t="s">
        <v>102</v>
      </c>
      <c r="R46" s="185"/>
      <c r="X46" s="17"/>
      <c r="Y46" s="17"/>
      <c r="Z46" s="239"/>
      <c r="AA46" s="17"/>
      <c r="AB46" s="17"/>
      <c r="AC46" s="17"/>
      <c r="AD46" s="813">
        <f>AD44-AD45</f>
        <v>303.52232889985447</v>
      </c>
      <c r="AE46" s="1135" t="s">
        <v>102</v>
      </c>
    </row>
    <row r="47" spans="2:48" s="7" customFormat="1" ht="18.75" x14ac:dyDescent="0.3">
      <c r="E47" s="17"/>
      <c r="F47" s="239"/>
      <c r="G47" s="17"/>
      <c r="H47" s="17"/>
      <c r="I47" s="194"/>
      <c r="J47" s="54"/>
      <c r="O47" s="8"/>
      <c r="P47" s="8"/>
      <c r="Q47" s="8"/>
      <c r="R47" s="243"/>
      <c r="S47" s="28"/>
    </row>
    <row r="48" spans="2:48" x14ac:dyDescent="0.25">
      <c r="B48" s="7"/>
      <c r="C48" s="7"/>
      <c r="E48" s="17"/>
      <c r="F48" s="239"/>
      <c r="G48" s="17"/>
      <c r="AH48" s="7"/>
      <c r="AI48" s="7"/>
      <c r="AJ48" s="7"/>
    </row>
    <row r="49" spans="3:35" ht="15.75" thickBot="1" x14ac:dyDescent="0.3">
      <c r="G49" s="290"/>
      <c r="H49" s="17"/>
      <c r="I49" s="17"/>
      <c r="J49" s="17"/>
      <c r="K49" s="7"/>
      <c r="L49" s="7"/>
      <c r="M49" s="7"/>
      <c r="N49" s="7"/>
      <c r="O49" s="7"/>
      <c r="P49" s="7"/>
      <c r="Q49" s="7"/>
      <c r="R49" s="7"/>
      <c r="S49" s="7"/>
      <c r="T49" s="7"/>
      <c r="U49" s="7"/>
      <c r="V49" s="7"/>
      <c r="W49" s="7"/>
      <c r="X49" s="7"/>
      <c r="Y49" s="7"/>
      <c r="Z49" s="7"/>
      <c r="AA49" s="7"/>
      <c r="AB49" s="7"/>
      <c r="AC49" s="7"/>
      <c r="AD49" s="7"/>
      <c r="AE49" s="7"/>
      <c r="AF49" s="7"/>
      <c r="AG49" s="7"/>
      <c r="AH49" s="7"/>
      <c r="AI49" s="7"/>
    </row>
    <row r="50" spans="3:35" ht="15.75" customHeight="1" thickBot="1" x14ac:dyDescent="0.3">
      <c r="D50" s="7"/>
      <c r="F50" s="17"/>
      <c r="G50" s="1689" t="s">
        <v>244</v>
      </c>
      <c r="H50" s="1690"/>
      <c r="I50" s="17"/>
      <c r="J50" s="1691" t="s">
        <v>659</v>
      </c>
      <c r="K50" s="7"/>
      <c r="L50" s="7"/>
      <c r="M50" s="7"/>
      <c r="N50" s="7"/>
      <c r="O50" s="7"/>
      <c r="P50" s="7"/>
      <c r="Q50" s="7"/>
      <c r="R50" s="7"/>
      <c r="S50" s="7"/>
      <c r="T50" s="7"/>
      <c r="U50" s="7"/>
      <c r="V50" s="7"/>
      <c r="W50" s="7"/>
      <c r="X50" s="7"/>
      <c r="Y50" s="7"/>
      <c r="Z50" s="7"/>
      <c r="AA50" s="7"/>
      <c r="AB50" s="7"/>
      <c r="AC50" s="7"/>
      <c r="AD50" s="7"/>
      <c r="AE50" s="7"/>
      <c r="AF50" s="7"/>
      <c r="AG50" s="7"/>
      <c r="AH50" s="7"/>
      <c r="AI50" s="7"/>
    </row>
    <row r="51" spans="3:35" x14ac:dyDescent="0.25">
      <c r="C51" s="7"/>
      <c r="D51" s="7"/>
      <c r="F51" s="17"/>
      <c r="G51" s="290"/>
      <c r="H51" s="17"/>
      <c r="I51" s="17"/>
      <c r="J51" s="1691"/>
      <c r="K51" s="7"/>
      <c r="L51" s="7"/>
      <c r="M51" s="7"/>
      <c r="N51" s="7"/>
      <c r="O51" s="7"/>
      <c r="P51" s="7"/>
      <c r="Q51" s="7"/>
      <c r="R51" s="7"/>
      <c r="S51" s="7"/>
      <c r="T51" s="7"/>
      <c r="U51" s="7"/>
      <c r="V51" s="7"/>
      <c r="W51" s="7"/>
      <c r="X51" s="7"/>
      <c r="Y51" s="7"/>
      <c r="Z51" s="7"/>
      <c r="AA51" s="7"/>
      <c r="AB51" s="7"/>
      <c r="AC51" s="7"/>
      <c r="AD51" s="7"/>
      <c r="AE51" s="7"/>
      <c r="AF51" s="7"/>
      <c r="AG51" s="7"/>
      <c r="AH51" s="7"/>
      <c r="AI51" s="7"/>
    </row>
    <row r="52" spans="3:35" x14ac:dyDescent="0.25">
      <c r="D52" s="7"/>
      <c r="F52" s="6"/>
      <c r="G52" s="17"/>
      <c r="H52" s="17"/>
      <c r="I52" s="17"/>
      <c r="J52" s="1691"/>
    </row>
    <row r="53" spans="3:35" ht="15" customHeight="1" x14ac:dyDescent="0.25">
      <c r="D53" s="7"/>
      <c r="F53" s="239"/>
      <c r="G53" s="17"/>
      <c r="H53" s="17"/>
      <c r="I53" s="17"/>
      <c r="J53" s="1691"/>
    </row>
    <row r="54" spans="3:35" x14ac:dyDescent="0.25">
      <c r="D54" s="7"/>
      <c r="F54" s="239"/>
      <c r="G54" s="17"/>
      <c r="H54" s="17"/>
      <c r="I54" s="17"/>
      <c r="J54" s="1691"/>
    </row>
    <row r="55" spans="3:35" x14ac:dyDescent="0.25">
      <c r="D55" s="7"/>
      <c r="F55" s="239"/>
      <c r="G55" s="17"/>
      <c r="H55" s="17"/>
      <c r="I55" s="17"/>
      <c r="J55" s="1691"/>
    </row>
    <row r="56" spans="3:35" x14ac:dyDescent="0.25">
      <c r="D56" s="7"/>
      <c r="F56" s="239"/>
      <c r="G56" s="17"/>
      <c r="H56" s="17"/>
      <c r="I56" s="17"/>
      <c r="J56" s="17"/>
    </row>
    <row r="57" spans="3:35" x14ac:dyDescent="0.25">
      <c r="D57" s="7"/>
      <c r="E57" s="31"/>
      <c r="F57" s="239"/>
      <c r="G57" s="17"/>
      <c r="H57" s="17"/>
      <c r="I57" s="17"/>
      <c r="J57" s="17"/>
    </row>
    <row r="58" spans="3:35" x14ac:dyDescent="0.25">
      <c r="D58" s="7"/>
      <c r="E58" s="31"/>
      <c r="F58" s="239"/>
      <c r="G58" s="17"/>
      <c r="H58" s="17"/>
      <c r="I58" s="17"/>
      <c r="J58" s="17"/>
    </row>
    <row r="59" spans="3:35" x14ac:dyDescent="0.25">
      <c r="F59" s="239"/>
      <c r="J59" s="17"/>
    </row>
    <row r="60" spans="3:35" x14ac:dyDescent="0.25">
      <c r="F60" s="239"/>
    </row>
  </sheetData>
  <mergeCells count="8">
    <mergeCell ref="L26:M26"/>
    <mergeCell ref="G50:H50"/>
    <mergeCell ref="J50:J55"/>
    <mergeCell ref="W16:W19"/>
    <mergeCell ref="B7:B9"/>
    <mergeCell ref="B15:B18"/>
    <mergeCell ref="E21:F24"/>
    <mergeCell ref="G21:J2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6A6E-E71A-4C4D-B41F-4294ED2410F2}">
  <sheetPr>
    <tabColor theme="2" tint="-0.499984740745262"/>
  </sheetPr>
  <dimension ref="A2:AV62"/>
  <sheetViews>
    <sheetView topLeftCell="A13" zoomScale="85" zoomScaleNormal="85" workbookViewId="0">
      <selection activeCell="T48" sqref="T48"/>
    </sheetView>
  </sheetViews>
  <sheetFormatPr defaultRowHeight="15" x14ac:dyDescent="0.25"/>
  <cols>
    <col min="3" max="3" width="10.7109375" bestFit="1" customWidth="1"/>
    <col min="5" max="6" width="11.42578125" style="33" customWidth="1"/>
    <col min="7" max="8" width="12" style="33" customWidth="1"/>
    <col min="9" max="9" width="19.140625" style="33" customWidth="1"/>
    <col min="10" max="10" width="22.140625" style="33" customWidth="1"/>
    <col min="11" max="11" width="15.5703125" customWidth="1"/>
    <col min="12" max="12" width="0" hidden="1" customWidth="1"/>
    <col min="13" max="13" width="9.42578125" hidden="1" customWidth="1"/>
    <col min="14" max="14" width="12.7109375" hidden="1" customWidth="1"/>
    <col min="15" max="15" width="10.28515625" hidden="1" customWidth="1"/>
    <col min="16" max="16" width="10.7109375" hidden="1" customWidth="1"/>
    <col min="17" max="17" width="0" hidden="1" customWidth="1"/>
    <col min="18" max="18" width="9.42578125" customWidth="1"/>
    <col min="20" max="20" width="12.140625" customWidth="1"/>
    <col min="21" max="21" width="10.5703125" customWidth="1"/>
    <col min="24" max="25" width="11.140625" customWidth="1"/>
    <col min="27" max="27" width="9.85546875" bestFit="1" customWidth="1"/>
    <col min="28" max="28" width="9.85546875" customWidth="1"/>
    <col min="30" max="30" width="19.42578125" bestFit="1" customWidth="1"/>
    <col min="31" max="31" width="21.28515625" bestFit="1" customWidth="1"/>
    <col min="34" max="34" width="10" customWidth="1"/>
    <col min="35" max="35" width="10.85546875" bestFit="1" customWidth="1"/>
    <col min="45" max="45" width="13.85546875" bestFit="1" customWidth="1"/>
    <col min="47" max="47" width="11" customWidth="1"/>
    <col min="48" max="48" width="9.140625" customWidth="1"/>
  </cols>
  <sheetData>
    <row r="2" spans="1:36" ht="36" x14ac:dyDescent="0.55000000000000004">
      <c r="B2" s="241" t="s">
        <v>125</v>
      </c>
      <c r="G2" s="17"/>
      <c r="H2" s="17"/>
      <c r="I2" s="17"/>
      <c r="W2" s="33"/>
    </row>
    <row r="3" spans="1:36" ht="15" customHeight="1" x14ac:dyDescent="0.55000000000000004">
      <c r="B3" s="241"/>
      <c r="G3" s="17"/>
      <c r="H3" s="17"/>
      <c r="I3" s="17"/>
      <c r="W3" s="33"/>
    </row>
    <row r="4" spans="1:36" ht="15" customHeight="1" x14ac:dyDescent="0.55000000000000004">
      <c r="B4" s="241"/>
      <c r="G4" s="17"/>
      <c r="H4" s="17"/>
      <c r="I4" s="17"/>
      <c r="W4" s="33"/>
    </row>
    <row r="5" spans="1:36" ht="15" customHeight="1" x14ac:dyDescent="0.25">
      <c r="B5" s="7" t="s">
        <v>656</v>
      </c>
      <c r="G5" s="17"/>
      <c r="H5" s="17"/>
      <c r="I5" s="17"/>
      <c r="W5" s="33"/>
    </row>
    <row r="6" spans="1:36" ht="15" customHeight="1" x14ac:dyDescent="0.25">
      <c r="A6" s="7"/>
      <c r="B6" s="7" t="str" cm="1">
        <f t="array" aca="1" ref="B6" ca="1">"(Decisions are: questions that the oracle will need to answer. The oracle's ultimate answer is Orange in Cell: "&amp;CELL("address",G46)&amp;", below.)"</f>
        <v>(Decisions are: questions that the oracle will need to answer. The oracle's ultimate answer is Orange in Cell: $G$46, below.)</v>
      </c>
      <c r="C6" s="7"/>
      <c r="D6" s="7"/>
      <c r="E6" s="17"/>
      <c r="F6" s="239"/>
      <c r="G6" s="189"/>
      <c r="H6" s="17"/>
      <c r="I6" s="17"/>
      <c r="J6"/>
      <c r="N6" t="s">
        <v>127</v>
      </c>
      <c r="W6" s="33"/>
    </row>
    <row r="7" spans="1:36" ht="15" customHeight="1" x14ac:dyDescent="0.25">
      <c r="A7" s="7"/>
      <c r="B7" s="1564" t="s">
        <v>159</v>
      </c>
      <c r="C7" s="150" t="s">
        <v>4</v>
      </c>
      <c r="D7" s="264" t="s">
        <v>643</v>
      </c>
      <c r="E7" s="150"/>
      <c r="F7" s="264"/>
      <c r="G7" s="271"/>
      <c r="H7" s="259"/>
      <c r="I7" s="189"/>
      <c r="J7"/>
      <c r="U7" s="33"/>
      <c r="V7" s="33"/>
      <c r="W7" s="33"/>
    </row>
    <row r="8" spans="1:36" ht="15" customHeight="1" x14ac:dyDescent="0.25">
      <c r="A8" s="7"/>
      <c r="B8" s="1565"/>
      <c r="C8" s="17" t="s">
        <v>130</v>
      </c>
      <c r="D8" s="17" t="s">
        <v>3</v>
      </c>
      <c r="E8" s="7"/>
      <c r="F8" s="17"/>
      <c r="G8" s="189"/>
      <c r="H8" s="239"/>
      <c r="I8" s="189"/>
      <c r="J8"/>
      <c r="U8" s="33"/>
      <c r="V8" s="33"/>
      <c r="W8" s="33"/>
    </row>
    <row r="9" spans="1:36" ht="15" customHeight="1" x14ac:dyDescent="0.25">
      <c r="A9" s="7"/>
      <c r="B9" s="1566"/>
      <c r="C9" s="257" t="s">
        <v>131</v>
      </c>
      <c r="D9" s="257" t="s">
        <v>2</v>
      </c>
      <c r="E9" s="245"/>
      <c r="F9" s="257"/>
      <c r="G9" s="272"/>
      <c r="H9" s="260"/>
      <c r="I9" s="189"/>
      <c r="J9"/>
      <c r="U9" s="33"/>
      <c r="V9" s="33"/>
      <c r="W9" s="33"/>
    </row>
    <row r="10" spans="1:36" ht="15" customHeight="1" x14ac:dyDescent="0.25">
      <c r="A10" s="7"/>
      <c r="B10" s="256"/>
      <c r="C10" s="17"/>
      <c r="D10" s="17"/>
      <c r="E10" s="7"/>
      <c r="F10" s="17"/>
      <c r="G10" s="189"/>
      <c r="H10" s="17"/>
      <c r="I10" s="189"/>
      <c r="J10"/>
      <c r="U10" s="33"/>
      <c r="V10" s="33"/>
      <c r="W10" s="33"/>
    </row>
    <row r="11" spans="1:36" ht="15" customHeight="1" x14ac:dyDescent="0.25">
      <c r="A11" s="7"/>
      <c r="B11" s="256"/>
      <c r="C11" s="17"/>
      <c r="D11" s="17"/>
      <c r="E11" s="7"/>
      <c r="F11" s="17"/>
      <c r="G11" s="189"/>
      <c r="H11" s="17"/>
      <c r="I11" s="189"/>
      <c r="J11" t="s">
        <v>686</v>
      </c>
      <c r="U11" s="33"/>
      <c r="V11" s="33"/>
      <c r="W11" s="33"/>
    </row>
    <row r="12" spans="1:36" ht="15" customHeight="1" x14ac:dyDescent="0.25">
      <c r="A12" s="7"/>
      <c r="B12" s="255" t="s">
        <v>660</v>
      </c>
      <c r="C12" s="17"/>
      <c r="D12" s="17"/>
      <c r="E12" s="7"/>
      <c r="F12" s="17"/>
      <c r="G12" s="189"/>
      <c r="H12" s="17"/>
      <c r="I12" s="189"/>
      <c r="J12" t="e">
        <f>$D$65*(($D71/$D$65)+($E71/$D$65)+($F71/$D$65)+($G71/$D$65)) - $D$65*(SUM(($D71/$D$65)^2,($E71/$D$65)^2,($F71/$D$65)^2,($G71/$D$65)^2)/2)</f>
        <v>#DIV/0!</v>
      </c>
      <c r="U12" s="33"/>
      <c r="V12" s="33"/>
      <c r="W12" s="33"/>
    </row>
    <row r="13" spans="1:36" ht="15" customHeight="1" x14ac:dyDescent="0.25">
      <c r="A13" s="7"/>
      <c r="B13" s="1140" t="str" cm="1">
        <f t="array" aca="1" ref="B13" ca="1">"Building a market requires 'sacrifical capital', shown in cell: "&amp;CELL("address",D19)&amp;"."</f>
        <v>Building a market requires 'sacrifical capital', shown in cell: $D$19.</v>
      </c>
      <c r="C13" s="17"/>
      <c r="D13" s="17"/>
      <c r="E13" s="7"/>
      <c r="F13" s="17"/>
      <c r="G13" s="189"/>
      <c r="H13" s="17"/>
      <c r="I13" s="189"/>
      <c r="J13" t="s">
        <v>690</v>
      </c>
      <c r="U13" s="33"/>
      <c r="V13" s="33"/>
      <c r="W13" s="33"/>
    </row>
    <row r="14" spans="1:36" ht="15.75" thickBot="1" x14ac:dyDescent="0.3">
      <c r="A14" s="7"/>
      <c r="B14" s="1140" t="str" cm="1">
        <f t="array" aca="1" ref="B14" ca="1">"The more capital, the more liquidity (indicated by the 'beta' parameter, in cell: "&amp;CELL("address",D19)&amp;")."</f>
        <v>The more capital, the more liquidity (indicated by the 'beta' parameter, in cell: $D$19).</v>
      </c>
      <c r="C14" s="17"/>
      <c r="D14" s="17"/>
      <c r="E14" s="7"/>
      <c r="F14" s="239"/>
      <c r="G14" s="189"/>
      <c r="H14" s="17"/>
      <c r="I14" s="189"/>
      <c r="J14"/>
      <c r="U14" s="33"/>
      <c r="V14" s="33"/>
      <c r="W14" s="33"/>
    </row>
    <row r="15" spans="1:36" ht="15.75" thickBot="1" x14ac:dyDescent="0.3">
      <c r="A15" s="7"/>
      <c r="B15" s="1567" t="s">
        <v>148</v>
      </c>
      <c r="C15" s="273" t="s">
        <v>160</v>
      </c>
      <c r="D15" s="276" t="s">
        <v>161</v>
      </c>
      <c r="E15" s="251" t="s">
        <v>162</v>
      </c>
      <c r="F15" s="251"/>
      <c r="G15" s="178"/>
      <c r="H15" s="17"/>
      <c r="I15" s="189"/>
      <c r="J15"/>
      <c r="U15" s="33"/>
      <c r="V15" s="33"/>
      <c r="W15" s="33"/>
    </row>
    <row r="16" spans="1:36" x14ac:dyDescent="0.25">
      <c r="A16" s="7"/>
      <c r="B16" s="1568"/>
      <c r="C16" s="17" t="s">
        <v>135</v>
      </c>
      <c r="D16" s="254">
        <v>2</v>
      </c>
      <c r="E16" s="17" t="s">
        <v>136</v>
      </c>
      <c r="F16" s="7"/>
      <c r="G16" s="277"/>
      <c r="H16" s="17"/>
      <c r="I16" s="189"/>
      <c r="J16"/>
      <c r="U16" s="33"/>
      <c r="V16" s="33"/>
      <c r="W16" s="1567" t="s">
        <v>148</v>
      </c>
      <c r="X16" s="273" t="s">
        <v>160</v>
      </c>
      <c r="Y16" s="276" t="s">
        <v>161</v>
      </c>
      <c r="Z16" s="251" t="s">
        <v>162</v>
      </c>
      <c r="AA16" s="251"/>
      <c r="AB16" s="178"/>
      <c r="AH16" s="7"/>
      <c r="AI16" s="7"/>
      <c r="AJ16" s="7"/>
    </row>
    <row r="17" spans="1:48" x14ac:dyDescent="0.25">
      <c r="A17" s="7"/>
      <c r="B17" s="1568"/>
      <c r="C17" s="17" t="s">
        <v>691</v>
      </c>
      <c r="D17" s="254">
        <v>1</v>
      </c>
      <c r="E17" s="17" t="s">
        <v>692</v>
      </c>
      <c r="F17" s="7"/>
      <c r="G17" s="277"/>
      <c r="H17" s="17"/>
      <c r="I17" s="189"/>
      <c r="J17"/>
      <c r="U17" s="33"/>
      <c r="V17" s="33"/>
      <c r="W17" s="1568"/>
      <c r="X17" s="140"/>
      <c r="Y17" s="1075"/>
      <c r="Z17" s="17"/>
      <c r="AA17" s="17"/>
      <c r="AB17" s="277"/>
      <c r="AH17" s="7"/>
      <c r="AI17" s="7"/>
      <c r="AJ17" s="7"/>
    </row>
    <row r="18" spans="1:48" x14ac:dyDescent="0.25">
      <c r="A18" s="7"/>
      <c r="B18" s="1568"/>
      <c r="C18" s="17" t="s">
        <v>688</v>
      </c>
      <c r="D18" s="437">
        <f>2*D20/D17</f>
        <v>6584.8982153194802</v>
      </c>
      <c r="E18" s="17" t="s">
        <v>689</v>
      </c>
      <c r="F18" s="7"/>
      <c r="G18" s="277"/>
      <c r="H18" s="17"/>
      <c r="I18" s="189"/>
      <c r="J18"/>
      <c r="U18" s="33"/>
      <c r="V18" s="33"/>
      <c r="W18" s="1568"/>
      <c r="X18" s="140"/>
      <c r="Y18" s="1075"/>
      <c r="Z18" s="17"/>
      <c r="AA18" s="17"/>
      <c r="AB18" s="277"/>
      <c r="AH18" s="7"/>
      <c r="AI18" s="7"/>
      <c r="AJ18" s="7"/>
    </row>
    <row r="19" spans="1:48" x14ac:dyDescent="0.25">
      <c r="A19" s="7"/>
      <c r="B19" s="1568"/>
      <c r="C19" s="17" t="s">
        <v>5</v>
      </c>
      <c r="D19" s="437">
        <v>4750</v>
      </c>
      <c r="E19" s="17" t="s">
        <v>139</v>
      </c>
      <c r="F19" s="7"/>
      <c r="G19" s="277"/>
      <c r="H19" s="17"/>
      <c r="I19" s="189"/>
      <c r="J19"/>
      <c r="U19" s="33"/>
      <c r="V19" s="33"/>
      <c r="W19" s="1568"/>
      <c r="X19" s="17" t="s">
        <v>135</v>
      </c>
      <c r="Y19" s="254">
        <v>3</v>
      </c>
      <c r="Z19" s="17" t="s">
        <v>136</v>
      </c>
      <c r="AA19" s="7"/>
      <c r="AB19" s="277"/>
      <c r="AH19" s="7" t="s">
        <v>623</v>
      </c>
      <c r="AI19" s="1160">
        <v>1000</v>
      </c>
      <c r="AJ19" s="7"/>
    </row>
    <row r="20" spans="1:48" ht="15.75" thickBot="1" x14ac:dyDescent="0.3">
      <c r="A20" s="7"/>
      <c r="B20" s="1569"/>
      <c r="C20" s="166" t="s">
        <v>149</v>
      </c>
      <c r="D20" s="739">
        <f>D19*LN(D16)</f>
        <v>3292.4491076597401</v>
      </c>
      <c r="E20" s="166" t="s">
        <v>138</v>
      </c>
      <c r="F20" s="166"/>
      <c r="G20" s="179"/>
      <c r="H20" s="17"/>
      <c r="I20" s="189"/>
      <c r="J20"/>
      <c r="U20" s="33"/>
      <c r="V20" s="33"/>
      <c r="W20" s="1568"/>
      <c r="X20" s="17" t="s">
        <v>5</v>
      </c>
      <c r="Y20" s="1167">
        <v>300</v>
      </c>
      <c r="Z20" s="17" t="s">
        <v>139</v>
      </c>
      <c r="AA20" s="7"/>
      <c r="AB20" s="277"/>
      <c r="AH20" s="7"/>
      <c r="AI20" s="7"/>
      <c r="AJ20" s="7"/>
    </row>
    <row r="21" spans="1:48" s="7" customFormat="1" ht="15.75" thickBot="1" x14ac:dyDescent="0.3">
      <c r="C21" s="8" t="s">
        <v>693</v>
      </c>
      <c r="D21"/>
      <c r="E21" s="33"/>
      <c r="F21" s="239"/>
      <c r="G21" s="33"/>
      <c r="H21" s="33"/>
      <c r="I21" s="33"/>
      <c r="J21" s="33"/>
      <c r="K21"/>
      <c r="L21"/>
      <c r="M21"/>
      <c r="N21"/>
      <c r="O21"/>
      <c r="P21"/>
      <c r="Q21"/>
      <c r="R21"/>
      <c r="S21"/>
      <c r="T21" s="8"/>
      <c r="W21" s="1569"/>
      <c r="X21" s="166" t="s">
        <v>137</v>
      </c>
      <c r="Y21" s="275">
        <f>Y20*LN(Y19)</f>
        <v>329.58368660043294</v>
      </c>
      <c r="Z21" s="166" t="s">
        <v>138</v>
      </c>
      <c r="AA21" s="166"/>
      <c r="AB21" s="179"/>
      <c r="AE21" s="7">
        <f>LN(2)</f>
        <v>0.69314718055994529</v>
      </c>
      <c r="AI21" s="7">
        <f>SUMSQ(AI22:AI27)</f>
        <v>999999.99689737009</v>
      </c>
    </row>
    <row r="22" spans="1:48" s="7" customFormat="1" x14ac:dyDescent="0.25">
      <c r="C22"/>
      <c r="D22"/>
      <c r="E22" s="33"/>
      <c r="F22" s="17"/>
      <c r="G22" s="33"/>
      <c r="H22" s="33"/>
      <c r="I22" s="33"/>
      <c r="J22" s="33"/>
      <c r="K22"/>
      <c r="L22"/>
      <c r="M22"/>
      <c r="N22"/>
      <c r="O22"/>
      <c r="P22"/>
      <c r="Q22"/>
      <c r="R22"/>
      <c r="S22"/>
      <c r="T22" s="8"/>
      <c r="AE22" s="7">
        <f>LN(3)</f>
        <v>1.0986122886681098</v>
      </c>
      <c r="AH22" s="7" t="s">
        <v>678</v>
      </c>
      <c r="AI22" s="1163">
        <f>AH31-AI19</f>
        <v>-4.6619261952400848E-3</v>
      </c>
      <c r="AK22" s="7" t="s">
        <v>676</v>
      </c>
      <c r="AL22" s="7">
        <v>1322.3579005334698</v>
      </c>
    </row>
    <row r="23" spans="1:48" s="7" customFormat="1" x14ac:dyDescent="0.25">
      <c r="C23"/>
      <c r="D23"/>
      <c r="E23" s="1572" t="s">
        <v>658</v>
      </c>
      <c r="F23" s="1573"/>
      <c r="G23" s="1578" t="s">
        <v>657</v>
      </c>
      <c r="H23" s="1579"/>
      <c r="I23" s="1579"/>
      <c r="J23" s="1580"/>
      <c r="K23"/>
      <c r="L23"/>
      <c r="M23"/>
      <c r="N23"/>
      <c r="O23"/>
      <c r="P23"/>
      <c r="Q23"/>
      <c r="R23"/>
      <c r="S23"/>
      <c r="T23" s="8"/>
      <c r="AE23" s="7">
        <f>LN(4)</f>
        <v>1.3862943611198906</v>
      </c>
      <c r="AI23" s="1157">
        <f>AH33-AI19</f>
        <v>-1.8320982072737024E-3</v>
      </c>
      <c r="AL23" s="7">
        <v>1839.5381822605289</v>
      </c>
    </row>
    <row r="24" spans="1:48" s="7" customFormat="1" x14ac:dyDescent="0.25">
      <c r="C24"/>
      <c r="D24"/>
      <c r="E24" s="1574"/>
      <c r="F24" s="1575"/>
      <c r="G24" s="1581"/>
      <c r="H24" s="1582"/>
      <c r="I24" s="1582"/>
      <c r="J24" s="1583"/>
      <c r="K24"/>
      <c r="L24"/>
      <c r="M24"/>
      <c r="N24"/>
      <c r="O24"/>
      <c r="P24"/>
      <c r="Q24"/>
      <c r="R24"/>
      <c r="S24"/>
      <c r="T24" s="8"/>
      <c r="AI24" s="1157">
        <f>AH35-AI19</f>
        <v>-2.3220545228923584E-3</v>
      </c>
      <c r="AL24" s="7">
        <v>2017.3895055235714</v>
      </c>
    </row>
    <row r="25" spans="1:48" s="7" customFormat="1" x14ac:dyDescent="0.25">
      <c r="C25"/>
      <c r="D25"/>
      <c r="E25" s="1574"/>
      <c r="F25" s="1575"/>
      <c r="G25" s="1581"/>
      <c r="H25" s="1582"/>
      <c r="I25" s="1582"/>
      <c r="J25" s="1583"/>
      <c r="K25"/>
      <c r="L25"/>
      <c r="M25"/>
      <c r="N25"/>
      <c r="O25"/>
      <c r="P25"/>
      <c r="Q25"/>
      <c r="R25"/>
      <c r="S25"/>
      <c r="T25" s="8"/>
      <c r="AI25" s="1157">
        <f>AH37-AI19</f>
        <v>-9.8729425390047254E-3</v>
      </c>
      <c r="AL25" s="7">
        <v>10999.990127057465</v>
      </c>
    </row>
    <row r="26" spans="1:48" s="7" customFormat="1" x14ac:dyDescent="0.25">
      <c r="C26"/>
      <c r="D26"/>
      <c r="E26" s="1576"/>
      <c r="F26" s="1577"/>
      <c r="G26" s="1584"/>
      <c r="H26" s="1585"/>
      <c r="I26" s="1585"/>
      <c r="J26" s="1586"/>
      <c r="K26"/>
      <c r="L26"/>
      <c r="M26"/>
      <c r="N26"/>
      <c r="O26"/>
      <c r="P26"/>
      <c r="Q26"/>
      <c r="R26"/>
      <c r="S26"/>
      <c r="T26" s="8"/>
      <c r="AI26" s="1157">
        <f>AH42-AI19</f>
        <v>6.515774115541717E-3</v>
      </c>
      <c r="AL26" s="8">
        <v>6999.9934841833401</v>
      </c>
    </row>
    <row r="27" spans="1:48" s="7" customFormat="1" ht="15.75" thickBot="1" x14ac:dyDescent="0.3">
      <c r="C27"/>
      <c r="D27"/>
      <c r="E27" s="33"/>
      <c r="F27" s="1139"/>
      <c r="G27" s="33"/>
      <c r="H27" s="33"/>
      <c r="I27" s="33"/>
      <c r="J27" s="33"/>
      <c r="K27"/>
      <c r="L27"/>
      <c r="M27"/>
      <c r="N27"/>
      <c r="O27"/>
      <c r="P27"/>
      <c r="Q27"/>
      <c r="R27"/>
      <c r="S27"/>
      <c r="T27" s="8"/>
      <c r="AI27" s="1157">
        <f>AH44-AI19</f>
        <v>-999.99999836347888</v>
      </c>
      <c r="AL27" s="8">
        <v>0</v>
      </c>
    </row>
    <row r="28" spans="1:48" s="7" customFormat="1" ht="24.75" customHeight="1" thickBot="1" x14ac:dyDescent="0.35">
      <c r="D28"/>
      <c r="E28" s="199" t="s">
        <v>12</v>
      </c>
      <c r="F28" s="201"/>
      <c r="G28" s="296" t="s">
        <v>13</v>
      </c>
      <c r="H28" s="62"/>
      <c r="I28" s="63" t="s">
        <v>687</v>
      </c>
      <c r="J28" s="240" t="s">
        <v>120</v>
      </c>
      <c r="K28" s="20"/>
      <c r="L28" s="1570" t="s">
        <v>98</v>
      </c>
      <c r="M28" s="1571"/>
      <c r="N28" s="183" t="s">
        <v>99</v>
      </c>
      <c r="P28" s="7" t="s">
        <v>100</v>
      </c>
      <c r="Q28" s="20"/>
      <c r="R28" s="184">
        <v>1165.3900000000001</v>
      </c>
      <c r="S28" s="20"/>
      <c r="W28"/>
      <c r="X28" s="199" t="s">
        <v>12</v>
      </c>
      <c r="Y28" s="200"/>
      <c r="Z28" s="201"/>
      <c r="AA28" s="296" t="s">
        <v>13</v>
      </c>
      <c r="AB28" s="62"/>
      <c r="AC28" s="62"/>
      <c r="AD28" s="63" t="s">
        <v>119</v>
      </c>
      <c r="AE28" s="240" t="s">
        <v>120</v>
      </c>
    </row>
    <row r="29" spans="1:48" s="7" customFormat="1" ht="16.5" thickTop="1" thickBot="1" x14ac:dyDescent="0.3">
      <c r="C29" s="32"/>
      <c r="D29" s="115" t="s">
        <v>45</v>
      </c>
      <c r="E29" s="247" t="s">
        <v>661</v>
      </c>
      <c r="F29" s="248" t="s">
        <v>662</v>
      </c>
      <c r="G29" s="174" t="s">
        <v>130</v>
      </c>
      <c r="H29" s="173" t="s">
        <v>131</v>
      </c>
      <c r="I29" s="1142">
        <v>0</v>
      </c>
      <c r="J29" s="1143"/>
      <c r="L29" s="180" t="str">
        <f>E29</f>
        <v>One</v>
      </c>
      <c r="M29" s="181" t="str">
        <f>F29</f>
        <v>Two</v>
      </c>
      <c r="R29"/>
      <c r="V29" s="21"/>
      <c r="W29" s="115" t="s">
        <v>45</v>
      </c>
      <c r="X29" s="247" t="s">
        <v>661</v>
      </c>
      <c r="Y29" s="1141" t="s">
        <v>662</v>
      </c>
      <c r="Z29" s="248" t="s">
        <v>663</v>
      </c>
      <c r="AA29" s="174" t="s">
        <v>661</v>
      </c>
      <c r="AB29" s="1141" t="s">
        <v>662</v>
      </c>
      <c r="AC29" s="173" t="s">
        <v>663</v>
      </c>
      <c r="AD29" s="1142">
        <v>0</v>
      </c>
      <c r="AE29" s="1143"/>
    </row>
    <row r="30" spans="1:48" s="7" customFormat="1" ht="18" customHeight="1" thickTop="1" thickBot="1" x14ac:dyDescent="0.3">
      <c r="D30" s="25">
        <v>1</v>
      </c>
      <c r="E30" s="453">
        <v>0</v>
      </c>
      <c r="F30" s="826">
        <v>0</v>
      </c>
      <c r="G30" s="229">
        <v>0.5</v>
      </c>
      <c r="H30" s="227">
        <v>0.5</v>
      </c>
      <c r="I30" s="1145"/>
      <c r="J30" s="1146">
        <f>(I30-I29)</f>
        <v>0</v>
      </c>
      <c r="L30" s="114"/>
      <c r="M30" s="100"/>
      <c r="R30"/>
      <c r="V30" s="21"/>
      <c r="W30" s="25">
        <v>1</v>
      </c>
      <c r="X30" s="453">
        <v>0</v>
      </c>
      <c r="Y30" s="1144">
        <v>0</v>
      </c>
      <c r="Z30" s="826">
        <v>0</v>
      </c>
      <c r="AA30" s="229">
        <f>EXP(X30/$Y$20)/(EXP($Y30/$Y$20)+EXP($X30/$Y$20)+EXP($Z30/$Y$20))</f>
        <v>0.33333333333333331</v>
      </c>
      <c r="AB30" s="1154">
        <f t="shared" ref="AB30:AC45" si="0">EXP(Y30/$Y$20)/(EXP($Y30/$Y$20)+EXP($X30/$Y$20)+EXP($Z30/$Y$20))</f>
        <v>0.33333333333333331</v>
      </c>
      <c r="AC30" s="227">
        <f t="shared" si="0"/>
        <v>0.33333333333333331</v>
      </c>
      <c r="AD30" s="1145">
        <f>$Y$20*LN(EXP($Y30/$Y$20)+EXP($X30/$Y$20)+EXP($Z30/$Y$20))</f>
        <v>329.58368660043294</v>
      </c>
      <c r="AE30" s="1146">
        <f>(AD30-AD29)</f>
        <v>329.58368660043294</v>
      </c>
      <c r="AK30" s="1161"/>
      <c r="AR30" s="1168" t="s">
        <v>671</v>
      </c>
      <c r="AS30" s="1170" t="s">
        <v>673</v>
      </c>
      <c r="AT30" s="1169" t="s">
        <v>672</v>
      </c>
      <c r="AU30" s="1075" t="s">
        <v>674</v>
      </c>
      <c r="AV30" s="1075" t="s">
        <v>675</v>
      </c>
    </row>
    <row r="31" spans="1:48" s="7" customFormat="1" ht="19.5" thickBot="1" x14ac:dyDescent="0.35">
      <c r="D31" s="25">
        <v>2</v>
      </c>
      <c r="E31" s="453">
        <v>1825</v>
      </c>
      <c r="F31" s="826">
        <v>0</v>
      </c>
      <c r="G31" s="229">
        <f>G30+((E31-E30)/D18)</f>
        <v>0.7771493104865641</v>
      </c>
      <c r="H31" s="227">
        <f t="shared" ref="H31:H45" si="1">EXP(F31/$D$19)/(EXP($F31/$D$19)+EXP($E31/$D$19))</f>
        <v>0.40511177204932575</v>
      </c>
      <c r="I31" s="1145">
        <f>$D$20*((G31^2)-(G30^2))</f>
        <v>1165.3987458189902</v>
      </c>
      <c r="J31" s="1147">
        <f>(I31-I30)</f>
        <v>1165.3987458189902</v>
      </c>
      <c r="L31" s="114">
        <f>E31-E30</f>
        <v>1825</v>
      </c>
      <c r="M31" s="100">
        <f>F31-F30</f>
        <v>0</v>
      </c>
      <c r="N31" s="182">
        <f t="shared" ref="N31:N45" si="2">J31</f>
        <v>1165.3987458189902</v>
      </c>
      <c r="P31" s="7" t="str">
        <f>IF(L31&gt;0,"Bought ",IF(L31&lt;0,"Sold ",""))&amp;IF(L31&lt;0,L31*-1,IF(L31&gt;0,L31,""))&amp;IF(L31&lt;&gt;0," Shares of State 1 at a cost of "&amp;ROUND($N31,5),"")</f>
        <v>Bought 1825 Shares of State 1 at a cost of 1165.39875</v>
      </c>
      <c r="Q31" s="7" t="str">
        <f>IF(M31&gt;0,"Bought ",IF(M31&lt;0,"Sold ",""))&amp;IF(M31&lt;0,M31*-1,IF(M31&gt;0,M31,""))&amp;IF(M31&lt;&gt;0," Shares of State 2 at a cost of "&amp;ROUND($N31,5),"")</f>
        <v/>
      </c>
      <c r="R31" s="185">
        <f>E31/J31</f>
        <v>1.5659876128641887</v>
      </c>
      <c r="S31" s="7">
        <f>1/R31</f>
        <v>0.63857465524328227</v>
      </c>
      <c r="V31" s="21" t="s">
        <v>677</v>
      </c>
      <c r="W31" s="25">
        <v>2</v>
      </c>
      <c r="X31" s="1162">
        <f>AL22</f>
        <v>1322.3579005334698</v>
      </c>
      <c r="Y31" s="1144">
        <v>0</v>
      </c>
      <c r="Z31" s="826">
        <v>0</v>
      </c>
      <c r="AA31" s="229">
        <f t="shared" ref="AA31:AA45" si="3">EXP(X31/$Y$20)/(EXP($Y31/$Y$20)+EXP($X31/$Y$20)+EXP($Z31/$Y$20))</f>
        <v>0.97621696818890669</v>
      </c>
      <c r="AB31" s="1154">
        <f t="shared" si="0"/>
        <v>1.1891515905546669E-2</v>
      </c>
      <c r="AC31" s="227">
        <f t="shared" si="0"/>
        <v>1.1891515905546669E-2</v>
      </c>
      <c r="AD31" s="1145">
        <f t="shared" ref="AD31:AD46" si="4">$Y$20*LN(EXP($Y31/$Y$20)+EXP($X31/$Y$20)+EXP($Z31/$Y$20))</f>
        <v>1329.5790246742376</v>
      </c>
      <c r="AE31" s="1147">
        <f>(AD31-AD30)</f>
        <v>999.99533807380476</v>
      </c>
      <c r="AG31" s="7" t="s">
        <v>664</v>
      </c>
      <c r="AH31" s="1157">
        <f>AE31</f>
        <v>999.99533807380476</v>
      </c>
      <c r="AI31" s="7" t="s">
        <v>665</v>
      </c>
      <c r="AJ31" s="7">
        <f>(X31-X30)</f>
        <v>1322.3579005334698</v>
      </c>
      <c r="AK31" s="7" t="s">
        <v>666</v>
      </c>
      <c r="AL31" s="8" t="s">
        <v>667</v>
      </c>
      <c r="AM31" s="1155">
        <v>1</v>
      </c>
      <c r="AN31" s="8" t="s">
        <v>668</v>
      </c>
      <c r="AO31" s="1155">
        <f>AM31*AJ31</f>
        <v>1322.3579005334698</v>
      </c>
      <c r="AP31" s="8" t="s">
        <v>669</v>
      </c>
      <c r="AQ31" s="1156" t="s">
        <v>670</v>
      </c>
      <c r="AR31" s="1159" t="str">
        <f>ROUND((AS31-1),2)&amp;"/1"</f>
        <v>0.32/1</v>
      </c>
      <c r="AS31" s="1158">
        <f>AO31/AH31</f>
        <v>1.3223640652971453</v>
      </c>
      <c r="AT31" s="1164">
        <f>1/AS31</f>
        <v>0.75622139639380803</v>
      </c>
      <c r="AU31" s="744">
        <f>AT31-AA30</f>
        <v>0.42288806306047472</v>
      </c>
      <c r="AV31" s="744">
        <f>AU31/AA30</f>
        <v>1.2686641891814243</v>
      </c>
    </row>
    <row r="32" spans="1:48" s="7" customFormat="1" ht="19.5" thickBot="1" x14ac:dyDescent="0.35">
      <c r="D32" s="25">
        <v>3</v>
      </c>
      <c r="E32" s="453">
        <v>800</v>
      </c>
      <c r="F32" s="826">
        <v>15</v>
      </c>
      <c r="G32" s="229">
        <f t="shared" ref="G32:G45" si="5">EXP(E32/$D$19)/(EXP($F32/$D$19)+EXP($E32/$D$19))</f>
        <v>0.54122201116021051</v>
      </c>
      <c r="H32" s="227">
        <f t="shared" si="1"/>
        <v>0.45877798883978949</v>
      </c>
      <c r="I32" s="1145">
        <f t="shared" ref="I32:I46" si="6">$D$19*LN(EXP($F32/$D$19)+EXP($E32/$D$19))</f>
        <v>3716.1471343028584</v>
      </c>
      <c r="J32" s="1147">
        <f t="shared" ref="J32:J44" si="7">(I32-I31)</f>
        <v>2550.7483884838684</v>
      </c>
      <c r="L32" s="114">
        <f t="shared" ref="L32:M45" si="8">E32-E31</f>
        <v>-1025</v>
      </c>
      <c r="M32" s="100">
        <f t="shared" si="8"/>
        <v>15</v>
      </c>
      <c r="N32" s="182">
        <f t="shared" si="2"/>
        <v>2550.7483884838684</v>
      </c>
      <c r="P32" s="7" t="str">
        <f t="shared" ref="P32:P45" si="9">IF(L32&gt;0,"Bought ",IF(L32&lt;0,"Sold ",""))&amp;IF(L32&lt;0,L32*-1,IF(L32&gt;0,L32,""))&amp;IF(L32&lt;&gt;0," Shares of State 1 at a cost of "&amp;ROUND($N32,5),"")</f>
        <v>Sold 1025 Shares of State 1 at a cost of 2550.74839</v>
      </c>
      <c r="Q32" s="7" t="str">
        <f>IF(M32&gt;0,"Bought ",IF(M32&lt;0,"Sold ",""))&amp;IF(M32&lt;0,M32*-1,IF(M32&gt;0,M32,""))&amp;IF(M32&lt;&gt;0," Shares of State 2 at a cost of "&amp;ROUND($N32,5),"")</f>
        <v>Bought 15 Shares of State 2 at a cost of 2550.74839</v>
      </c>
      <c r="R32" s="185"/>
      <c r="V32" s="21"/>
      <c r="W32" s="25">
        <v>3</v>
      </c>
      <c r="X32" s="453">
        <v>800</v>
      </c>
      <c r="Y32" s="1144">
        <v>15</v>
      </c>
      <c r="Z32" s="826">
        <v>15</v>
      </c>
      <c r="AA32" s="229">
        <f t="shared" si="3"/>
        <v>0.87253038832477559</v>
      </c>
      <c r="AB32" s="1154">
        <f t="shared" si="0"/>
        <v>6.3734805837612249E-2</v>
      </c>
      <c r="AC32" s="227">
        <f t="shared" si="0"/>
        <v>6.3734805837612249E-2</v>
      </c>
      <c r="AD32" s="1145">
        <f t="shared" si="4"/>
        <v>840.90733894596212</v>
      </c>
      <c r="AE32" s="1147">
        <f t="shared" ref="AE32:AE38" si="10">(AD32-AD31)</f>
        <v>-488.67168572827552</v>
      </c>
      <c r="AR32" s="1031"/>
      <c r="AS32" s="1167"/>
      <c r="AT32" s="1164"/>
      <c r="AU32" s="744"/>
      <c r="AV32" s="744"/>
    </row>
    <row r="33" spans="4:48" s="7" customFormat="1" ht="19.5" thickBot="1" x14ac:dyDescent="0.35">
      <c r="D33" s="25">
        <v>4</v>
      </c>
      <c r="E33" s="453">
        <v>0</v>
      </c>
      <c r="F33" s="826">
        <v>10</v>
      </c>
      <c r="G33" s="229">
        <f t="shared" si="5"/>
        <v>0.49947368440491807</v>
      </c>
      <c r="H33" s="227">
        <f t="shared" si="1"/>
        <v>0.50052631559508198</v>
      </c>
      <c r="I33" s="1145">
        <f t="shared" si="6"/>
        <v>3297.4517392382013</v>
      </c>
      <c r="J33" s="1147">
        <f t="shared" si="7"/>
        <v>-418.69539506465708</v>
      </c>
      <c r="L33" s="114">
        <f t="shared" si="8"/>
        <v>-800</v>
      </c>
      <c r="M33" s="100">
        <f t="shared" si="8"/>
        <v>-5</v>
      </c>
      <c r="N33" s="182">
        <f t="shared" si="2"/>
        <v>-418.69539506465708</v>
      </c>
      <c r="P33" s="7" t="str">
        <f t="shared" si="9"/>
        <v>Sold 800 Shares of State 1 at a cost of -418.6954</v>
      </c>
      <c r="Q33" s="7" t="str">
        <f t="shared" ref="Q33:Q45" si="11">IF(M33&gt;0,"Bought ",IF(M33&lt;0,"Sold ",""))&amp;IF(M33&lt;0,M33*-1,IF(M33&gt;0,M33,""))&amp;IF(M33&lt;&gt;0," Shares of State 2 at a cost of "&amp;ROUND($N33,5),"")</f>
        <v>Sold 5 Shares of State 2 at a cost of -418.6954</v>
      </c>
      <c r="R33" s="185"/>
      <c r="V33" s="21" t="s">
        <v>679</v>
      </c>
      <c r="W33" s="25">
        <v>4</v>
      </c>
      <c r="X33" s="1162">
        <f>AL23</f>
        <v>1839.5381822605289</v>
      </c>
      <c r="Y33" s="1144">
        <f>Y32</f>
        <v>15</v>
      </c>
      <c r="Z33" s="826">
        <f>Z32</f>
        <v>15</v>
      </c>
      <c r="AA33" s="229">
        <f t="shared" si="3"/>
        <v>0.99545262215039665</v>
      </c>
      <c r="AB33" s="1154">
        <f t="shared" si="0"/>
        <v>2.27368892480168E-3</v>
      </c>
      <c r="AC33" s="227">
        <f t="shared" si="0"/>
        <v>2.27368892480168E-3</v>
      </c>
      <c r="AD33" s="1145">
        <f t="shared" si="4"/>
        <v>1840.9055068477549</v>
      </c>
      <c r="AE33" s="1147">
        <f t="shared" si="10"/>
        <v>999.99816790179273</v>
      </c>
      <c r="AG33" s="7" t="s">
        <v>664</v>
      </c>
      <c r="AH33" s="1157">
        <f>AE33</f>
        <v>999.99816790179273</v>
      </c>
      <c r="AI33" s="7" t="s">
        <v>665</v>
      </c>
      <c r="AJ33" s="7">
        <f>(X33-X32)</f>
        <v>1039.5381822605289</v>
      </c>
      <c r="AK33" s="7" t="s">
        <v>666</v>
      </c>
      <c r="AL33" s="8" t="s">
        <v>667</v>
      </c>
      <c r="AM33" s="1155">
        <v>1</v>
      </c>
      <c r="AN33" s="8" t="s">
        <v>668</v>
      </c>
      <c r="AO33" s="1155">
        <f>AM33*AJ33</f>
        <v>1039.5381822605289</v>
      </c>
      <c r="AP33" s="8" t="s">
        <v>669</v>
      </c>
      <c r="AQ33" s="1156" t="s">
        <v>670</v>
      </c>
      <c r="AR33" s="1159" t="str">
        <f>ROUND((AS33-1),2)&amp;"/1"</f>
        <v>0.04/1</v>
      </c>
      <c r="AS33" s="1158">
        <f>AO33/AH33</f>
        <v>1.0395400868000584</v>
      </c>
      <c r="AT33" s="1164">
        <f>1/AS33</f>
        <v>0.96196386526875377</v>
      </c>
      <c r="AU33" s="744">
        <f>AT33-AA32</f>
        <v>8.9433476943978185E-2</v>
      </c>
      <c r="AV33" s="744">
        <f>AU33/AA32</f>
        <v>0.10249898243164571</v>
      </c>
    </row>
    <row r="34" spans="4:48" s="7" customFormat="1" ht="19.5" thickBot="1" x14ac:dyDescent="0.35">
      <c r="D34" s="25">
        <v>5</v>
      </c>
      <c r="E34" s="453">
        <v>800</v>
      </c>
      <c r="F34" s="826">
        <v>800</v>
      </c>
      <c r="G34" s="229">
        <f t="shared" si="5"/>
        <v>0.5</v>
      </c>
      <c r="H34" s="227">
        <f t="shared" si="1"/>
        <v>0.5</v>
      </c>
      <c r="I34" s="1145">
        <f t="shared" si="6"/>
        <v>4092.4491076597401</v>
      </c>
      <c r="J34" s="1147">
        <f t="shared" si="7"/>
        <v>794.99736842153879</v>
      </c>
      <c r="L34" s="114">
        <f t="shared" si="8"/>
        <v>800</v>
      </c>
      <c r="M34" s="100">
        <f t="shared" si="8"/>
        <v>790</v>
      </c>
      <c r="N34" s="182">
        <f t="shared" si="2"/>
        <v>794.99736842153879</v>
      </c>
      <c r="P34" s="7" t="str">
        <f t="shared" si="9"/>
        <v>Bought 800 Shares of State 1 at a cost of 794.99737</v>
      </c>
      <c r="Q34" s="7" t="str">
        <f t="shared" si="11"/>
        <v>Bought 790 Shares of State 2 at a cost of 794.99737</v>
      </c>
      <c r="R34" s="185"/>
      <c r="V34" s="21"/>
      <c r="W34" s="25">
        <v>5</v>
      </c>
      <c r="X34" s="453">
        <v>200</v>
      </c>
      <c r="Y34" s="1144">
        <v>800</v>
      </c>
      <c r="Z34" s="826">
        <v>800</v>
      </c>
      <c r="AA34" s="229">
        <f t="shared" si="3"/>
        <v>6.3378938333037621E-2</v>
      </c>
      <c r="AB34" s="1154">
        <f t="shared" si="0"/>
        <v>0.46831053083348118</v>
      </c>
      <c r="AC34" s="227">
        <f t="shared" si="0"/>
        <v>0.46831053083348118</v>
      </c>
      <c r="AD34" s="1145">
        <f t="shared" si="4"/>
        <v>1027.587102703854</v>
      </c>
      <c r="AE34" s="1147">
        <f t="shared" si="10"/>
        <v>-813.31840414390081</v>
      </c>
      <c r="AH34" s="1157"/>
      <c r="AL34" s="8"/>
      <c r="AM34" s="1155"/>
      <c r="AN34" s="8"/>
      <c r="AO34" s="1155"/>
      <c r="AP34" s="8"/>
      <c r="AQ34" s="1156"/>
      <c r="AR34" s="1159"/>
      <c r="AS34" s="1158"/>
      <c r="AT34" s="1164"/>
      <c r="AU34" s="744"/>
      <c r="AV34" s="744"/>
    </row>
    <row r="35" spans="4:48" s="7" customFormat="1" ht="19.5" thickBot="1" x14ac:dyDescent="0.35">
      <c r="D35" s="25">
        <v>6</v>
      </c>
      <c r="E35" s="453">
        <v>2017.3895055235701</v>
      </c>
      <c r="F35" s="826">
        <v>800</v>
      </c>
      <c r="G35" s="229">
        <f t="shared" si="5"/>
        <v>0.56372469552930893</v>
      </c>
      <c r="H35" s="227">
        <f t="shared" si="1"/>
        <v>0.43627530447069096</v>
      </c>
      <c r="I35" s="1145">
        <f t="shared" si="6"/>
        <v>4740.038562494181</v>
      </c>
      <c r="J35" s="1147">
        <f t="shared" si="7"/>
        <v>647.58945483444086</v>
      </c>
      <c r="L35" s="114">
        <f t="shared" si="8"/>
        <v>1217.3895055235701</v>
      </c>
      <c r="M35" s="100">
        <f t="shared" si="8"/>
        <v>0</v>
      </c>
      <c r="N35" s="182">
        <f t="shared" si="2"/>
        <v>647.58945483444086</v>
      </c>
      <c r="P35" s="7" t="str">
        <f t="shared" si="9"/>
        <v>Bought 1217.38950552357 Shares of State 1 at a cost of 647.58945</v>
      </c>
      <c r="Q35" s="7" t="str">
        <f t="shared" si="11"/>
        <v/>
      </c>
      <c r="R35" s="185"/>
      <c r="V35" s="21" t="s">
        <v>680</v>
      </c>
      <c r="W35" s="25">
        <v>6</v>
      </c>
      <c r="X35" s="1162">
        <f>AL24</f>
        <v>2017.3895055235714</v>
      </c>
      <c r="Y35" s="1144">
        <f>Y34</f>
        <v>800</v>
      </c>
      <c r="Z35" s="826">
        <f>Z34</f>
        <v>800</v>
      </c>
      <c r="AA35" s="229">
        <f t="shared" si="3"/>
        <v>0.96658672785339816</v>
      </c>
      <c r="AB35" s="1154">
        <f t="shared" si="0"/>
        <v>1.6706636073300918E-2</v>
      </c>
      <c r="AC35" s="227">
        <f t="shared" si="0"/>
        <v>1.6706636073300918E-2</v>
      </c>
      <c r="AD35" s="1145">
        <f t="shared" si="4"/>
        <v>2027.5847806493312</v>
      </c>
      <c r="AE35" s="1147">
        <f t="shared" si="10"/>
        <v>999.99767794547711</v>
      </c>
      <c r="AG35" s="7" t="s">
        <v>664</v>
      </c>
      <c r="AH35" s="1157">
        <f>AE35</f>
        <v>999.99767794547711</v>
      </c>
      <c r="AI35" s="7" t="s">
        <v>665</v>
      </c>
      <c r="AJ35" s="7">
        <f>(X35-X34)</f>
        <v>1817.3895055235714</v>
      </c>
      <c r="AK35" s="7" t="s">
        <v>666</v>
      </c>
      <c r="AL35" s="8" t="s">
        <v>667</v>
      </c>
      <c r="AM35" s="1155">
        <v>1</v>
      </c>
      <c r="AN35" s="8" t="s">
        <v>668</v>
      </c>
      <c r="AO35" s="1155">
        <f>AM35*AJ35</f>
        <v>1817.3895055235714</v>
      </c>
      <c r="AP35" s="8" t="s">
        <v>669</v>
      </c>
      <c r="AQ35" s="1156" t="s">
        <v>670</v>
      </c>
      <c r="AR35" s="1159" t="str">
        <f>ROUND((AS35-1),2)&amp;"/1"</f>
        <v>0.82/1</v>
      </c>
      <c r="AS35" s="1158">
        <f>AO35/AH35</f>
        <v>1.8173937256108919</v>
      </c>
      <c r="AT35" s="1164">
        <f>1/AS35</f>
        <v>0.550238501381347</v>
      </c>
      <c r="AU35" s="744">
        <f>AT35-AA34</f>
        <v>0.48685956304830935</v>
      </c>
      <c r="AV35" s="744">
        <f>AU35/AA34</f>
        <v>7.6817248103779523</v>
      </c>
    </row>
    <row r="36" spans="4:48" s="7" customFormat="1" ht="19.5" thickBot="1" x14ac:dyDescent="0.35">
      <c r="D36" s="25">
        <v>7</v>
      </c>
      <c r="E36" s="453">
        <v>10000</v>
      </c>
      <c r="F36" s="826">
        <v>0</v>
      </c>
      <c r="G36" s="229">
        <f t="shared" si="5"/>
        <v>0.89141367840953945</v>
      </c>
      <c r="H36" s="227">
        <f t="shared" si="1"/>
        <v>0.10858632159046053</v>
      </c>
      <c r="I36" s="1145">
        <f t="shared" si="6"/>
        <v>10545.996700198093</v>
      </c>
      <c r="J36" s="1147">
        <f t="shared" si="7"/>
        <v>5805.9581377039121</v>
      </c>
      <c r="L36" s="114">
        <f t="shared" si="8"/>
        <v>7982.6104944764302</v>
      </c>
      <c r="M36" s="100">
        <f t="shared" si="8"/>
        <v>-800</v>
      </c>
      <c r="N36" s="182">
        <f t="shared" si="2"/>
        <v>5805.9581377039121</v>
      </c>
      <c r="P36" s="7" t="str">
        <f t="shared" si="9"/>
        <v>Bought 7982.61049447643 Shares of State 1 at a cost of 5805.95814</v>
      </c>
      <c r="Q36" s="7" t="str">
        <f t="shared" si="11"/>
        <v>Sold 800 Shares of State 2 at a cost of 5805.95814</v>
      </c>
      <c r="R36" s="185"/>
      <c r="V36" s="21"/>
      <c r="W36" s="25">
        <v>7</v>
      </c>
      <c r="X36" s="453">
        <v>10000</v>
      </c>
      <c r="Y36" s="1144">
        <v>0</v>
      </c>
      <c r="Z36" s="826">
        <v>0</v>
      </c>
      <c r="AA36" s="229">
        <f t="shared" si="3"/>
        <v>0.99999999999999334</v>
      </c>
      <c r="AB36" s="1154">
        <f t="shared" si="0"/>
        <v>3.338237795364976E-15</v>
      </c>
      <c r="AC36" s="227">
        <f t="shared" si="0"/>
        <v>3.338237795364976E-15</v>
      </c>
      <c r="AD36" s="1145">
        <f t="shared" si="4"/>
        <v>10000.000000000004</v>
      </c>
      <c r="AE36" s="1147">
        <f t="shared" si="10"/>
        <v>7972.4152193506725</v>
      </c>
      <c r="AR36" s="1031"/>
      <c r="AS36" s="1167"/>
      <c r="AT36" s="931"/>
      <c r="AU36" s="744"/>
      <c r="AV36" s="744"/>
    </row>
    <row r="37" spans="4:48" s="7" customFormat="1" ht="19.5" thickBot="1" x14ac:dyDescent="0.35">
      <c r="D37" s="25">
        <v>8</v>
      </c>
      <c r="E37" s="453">
        <v>10999.990127057465</v>
      </c>
      <c r="F37" s="826">
        <v>0</v>
      </c>
      <c r="G37" s="229">
        <f t="shared" si="5"/>
        <v>0.91017613145856624</v>
      </c>
      <c r="H37" s="227">
        <f t="shared" si="1"/>
        <v>8.9823868541433718E-2</v>
      </c>
      <c r="I37" s="1145">
        <f t="shared" si="6"/>
        <v>11447.046576003151</v>
      </c>
      <c r="J37" s="1147">
        <f t="shared" si="7"/>
        <v>901.04987580505804</v>
      </c>
      <c r="L37" s="114">
        <f t="shared" si="8"/>
        <v>999.99012705746463</v>
      </c>
      <c r="M37" s="100">
        <f t="shared" si="8"/>
        <v>0</v>
      </c>
      <c r="N37" s="182">
        <f t="shared" si="2"/>
        <v>901.04987580505804</v>
      </c>
      <c r="P37" s="7" t="str">
        <f t="shared" si="9"/>
        <v>Bought 999.990127057465 Shares of State 1 at a cost of 901.04988</v>
      </c>
      <c r="Q37" s="7" t="str">
        <f t="shared" si="11"/>
        <v/>
      </c>
      <c r="R37" s="185"/>
      <c r="V37" s="21" t="s">
        <v>681</v>
      </c>
      <c r="W37" s="25">
        <v>8</v>
      </c>
      <c r="X37" s="1162">
        <f>AL25</f>
        <v>10999.990127057465</v>
      </c>
      <c r="Y37" s="1144">
        <f>Y36</f>
        <v>0</v>
      </c>
      <c r="Z37" s="826">
        <f>Z36</f>
        <v>0</v>
      </c>
      <c r="AA37" s="229">
        <f t="shared" si="3"/>
        <v>0.99999999999999978</v>
      </c>
      <c r="AB37" s="1154">
        <f t="shared" si="0"/>
        <v>1.1909219214013776E-16</v>
      </c>
      <c r="AC37" s="227">
        <f t="shared" si="0"/>
        <v>1.1909219214013776E-16</v>
      </c>
      <c r="AD37" s="1145">
        <f t="shared" si="4"/>
        <v>10999.990127057465</v>
      </c>
      <c r="AE37" s="1147">
        <f t="shared" si="10"/>
        <v>999.990127057461</v>
      </c>
      <c r="AG37" s="7" t="s">
        <v>664</v>
      </c>
      <c r="AH37" s="1157">
        <f>AE37</f>
        <v>999.990127057461</v>
      </c>
      <c r="AI37" s="7" t="s">
        <v>665</v>
      </c>
      <c r="AJ37" s="7">
        <f>(X37-X36)</f>
        <v>999.99012705746463</v>
      </c>
      <c r="AK37" s="7" t="s">
        <v>666</v>
      </c>
      <c r="AL37" s="8" t="s">
        <v>667</v>
      </c>
      <c r="AM37" s="1155">
        <v>1</v>
      </c>
      <c r="AN37" s="8" t="s">
        <v>668</v>
      </c>
      <c r="AO37" s="1155">
        <f>AM37*AJ37</f>
        <v>999.99012705746463</v>
      </c>
      <c r="AP37" s="8" t="s">
        <v>669</v>
      </c>
      <c r="AQ37" s="1156" t="s">
        <v>670</v>
      </c>
      <c r="AR37" s="1159" t="str">
        <f>ROUND((AS37-1),2)&amp;"/1"</f>
        <v>0/1</v>
      </c>
      <c r="AS37" s="1158">
        <f>AO37/AH37</f>
        <v>1.0000000000000036</v>
      </c>
      <c r="AT37" s="931">
        <f>1/AS37</f>
        <v>0.99999999999999645</v>
      </c>
      <c r="AU37" s="744">
        <f>AT37-AA36</f>
        <v>3.1086244689504383E-15</v>
      </c>
      <c r="AV37" s="744">
        <f>AU37/AA36</f>
        <v>3.1086244689504588E-15</v>
      </c>
    </row>
    <row r="38" spans="4:48" s="7" customFormat="1" ht="18.75" x14ac:dyDescent="0.3">
      <c r="D38" s="25">
        <v>9</v>
      </c>
      <c r="E38" s="453">
        <v>39</v>
      </c>
      <c r="F38" s="826">
        <v>5</v>
      </c>
      <c r="G38" s="229">
        <f t="shared" si="5"/>
        <v>0.50178946604387453</v>
      </c>
      <c r="H38" s="227">
        <f t="shared" si="1"/>
        <v>0.49821053395612552</v>
      </c>
      <c r="I38" s="1145">
        <f t="shared" si="6"/>
        <v>3314.4795286474296</v>
      </c>
      <c r="J38" s="1147">
        <f t="shared" si="7"/>
        <v>-8132.567047355722</v>
      </c>
      <c r="L38" s="114">
        <f t="shared" si="8"/>
        <v>-10960.990127057465</v>
      </c>
      <c r="M38" s="100">
        <f t="shared" si="8"/>
        <v>5</v>
      </c>
      <c r="N38" s="182">
        <f t="shared" si="2"/>
        <v>-8132.567047355722</v>
      </c>
      <c r="P38" s="7" t="str">
        <f t="shared" si="9"/>
        <v>Sold 10960.9901270575 Shares of State 1 at a cost of -8132.56705</v>
      </c>
      <c r="Q38" s="7" t="str">
        <f t="shared" si="11"/>
        <v>Bought 5 Shares of State 2 at a cost of -8132.56705</v>
      </c>
      <c r="R38" s="185"/>
      <c r="W38" s="25">
        <v>9</v>
      </c>
      <c r="X38" s="453">
        <v>39</v>
      </c>
      <c r="Y38" s="1144">
        <v>5</v>
      </c>
      <c r="Z38" s="826">
        <v>43</v>
      </c>
      <c r="AA38" s="229">
        <f t="shared" si="3"/>
        <v>0.3440829892598859</v>
      </c>
      <c r="AB38" s="1154">
        <f t="shared" si="0"/>
        <v>0.30721552674715075</v>
      </c>
      <c r="AC38" s="227">
        <f t="shared" si="0"/>
        <v>0.34870148399296341</v>
      </c>
      <c r="AD38" s="1145">
        <f t="shared" si="4"/>
        <v>359.06172085674478</v>
      </c>
      <c r="AE38" s="1147">
        <f t="shared" si="10"/>
        <v>-10640.928406200719</v>
      </c>
      <c r="AH38" s="1157"/>
      <c r="AL38" s="8"/>
      <c r="AM38" s="1155"/>
      <c r="AN38" s="8"/>
      <c r="AO38" s="1155"/>
      <c r="AP38" s="8"/>
      <c r="AQ38" s="1156"/>
      <c r="AR38" s="1158"/>
      <c r="AS38" s="1158"/>
      <c r="AV38" s="744"/>
    </row>
    <row r="39" spans="4:48" s="7" customFormat="1" ht="18.75" x14ac:dyDescent="0.3">
      <c r="D39" s="25">
        <v>10</v>
      </c>
      <c r="E39" s="453">
        <v>57</v>
      </c>
      <c r="F39" s="826">
        <v>12</v>
      </c>
      <c r="G39" s="229">
        <f t="shared" si="5"/>
        <v>0.50236840333883803</v>
      </c>
      <c r="H39" s="227">
        <f t="shared" si="1"/>
        <v>0.4976315966611618</v>
      </c>
      <c r="I39" s="1145">
        <f t="shared" si="6"/>
        <v>3327.0023969341446</v>
      </c>
      <c r="J39" s="1147">
        <f>(I39-I38)</f>
        <v>12.522868286715038</v>
      </c>
      <c r="L39" s="114">
        <f t="shared" si="8"/>
        <v>18</v>
      </c>
      <c r="M39" s="100">
        <f t="shared" si="8"/>
        <v>7</v>
      </c>
      <c r="N39" s="182">
        <f t="shared" si="2"/>
        <v>12.522868286715038</v>
      </c>
      <c r="P39" s="7" t="str">
        <f t="shared" si="9"/>
        <v>Bought 18 Shares of State 1 at a cost of 12.52287</v>
      </c>
      <c r="Q39" s="7" t="str">
        <f t="shared" si="11"/>
        <v>Bought 7 Shares of State 2 at a cost of 12.52287</v>
      </c>
      <c r="R39" s="185"/>
      <c r="W39" s="25">
        <v>10</v>
      </c>
      <c r="X39" s="453">
        <v>57</v>
      </c>
      <c r="Y39" s="1144">
        <v>12</v>
      </c>
      <c r="Z39" s="826">
        <v>43</v>
      </c>
      <c r="AA39" s="229">
        <f t="shared" si="3"/>
        <v>0.35522546979848058</v>
      </c>
      <c r="AB39" s="1154">
        <f t="shared" si="0"/>
        <v>0.3057453952848907</v>
      </c>
      <c r="AC39" s="227">
        <f t="shared" si="0"/>
        <v>0.33902913491662884</v>
      </c>
      <c r="AD39" s="1145">
        <f t="shared" si="4"/>
        <v>367.50076947632976</v>
      </c>
      <c r="AE39" s="1147">
        <f t="shared" ref="AE39:AE45" si="12">(AD39-AD38)</f>
        <v>8.4390486195849803</v>
      </c>
      <c r="AV39" s="744"/>
    </row>
    <row r="40" spans="4:48" s="7" customFormat="1" ht="18.75" x14ac:dyDescent="0.3">
      <c r="D40" s="25">
        <v>11</v>
      </c>
      <c r="E40" s="453">
        <v>0</v>
      </c>
      <c r="F40" s="826">
        <v>0</v>
      </c>
      <c r="G40" s="229">
        <f t="shared" si="5"/>
        <v>0.5</v>
      </c>
      <c r="H40" s="227">
        <f t="shared" si="1"/>
        <v>0.5</v>
      </c>
      <c r="I40" s="1145">
        <f t="shared" si="6"/>
        <v>3292.4491076597401</v>
      </c>
      <c r="J40" s="1147">
        <f t="shared" si="7"/>
        <v>-34.553289274404506</v>
      </c>
      <c r="L40" s="114">
        <f t="shared" si="8"/>
        <v>-57</v>
      </c>
      <c r="M40" s="100">
        <f t="shared" si="8"/>
        <v>-12</v>
      </c>
      <c r="N40" s="182">
        <f t="shared" si="2"/>
        <v>-34.553289274404506</v>
      </c>
      <c r="P40" s="7" t="str">
        <f t="shared" si="9"/>
        <v>Sold 57 Shares of State 1 at a cost of -34.55329</v>
      </c>
      <c r="Q40" s="7" t="str">
        <f t="shared" si="11"/>
        <v>Sold 12 Shares of State 2 at a cost of -34.55329</v>
      </c>
      <c r="R40" s="185"/>
      <c r="W40" s="25">
        <v>11</v>
      </c>
      <c r="X40" s="453">
        <v>0</v>
      </c>
      <c r="Y40" s="1144">
        <v>0</v>
      </c>
      <c r="Z40" s="826">
        <v>0</v>
      </c>
      <c r="AA40" s="229">
        <f t="shared" si="3"/>
        <v>0.33333333333333331</v>
      </c>
      <c r="AB40" s="1154">
        <f t="shared" si="0"/>
        <v>0.33333333333333331</v>
      </c>
      <c r="AC40" s="227">
        <f t="shared" si="0"/>
        <v>0.33333333333333331</v>
      </c>
      <c r="AD40" s="1145">
        <f t="shared" si="4"/>
        <v>329.58368660043294</v>
      </c>
      <c r="AE40" s="1147">
        <f t="shared" si="12"/>
        <v>-37.917082875896824</v>
      </c>
    </row>
    <row r="41" spans="4:48" s="7" customFormat="1" ht="18.75" x14ac:dyDescent="0.3">
      <c r="D41" s="25">
        <v>12</v>
      </c>
      <c r="E41" s="453">
        <v>8000</v>
      </c>
      <c r="F41" s="826">
        <v>0</v>
      </c>
      <c r="G41" s="229">
        <f t="shared" si="5"/>
        <v>0.84346126955269995</v>
      </c>
      <c r="H41" s="227">
        <f t="shared" si="1"/>
        <v>0.15653873044730005</v>
      </c>
      <c r="I41" s="1145">
        <f t="shared" si="6"/>
        <v>8808.646148435646</v>
      </c>
      <c r="J41" s="1147">
        <f t="shared" si="7"/>
        <v>5516.1970407759054</v>
      </c>
      <c r="L41" s="114">
        <f t="shared" si="8"/>
        <v>8000</v>
      </c>
      <c r="M41" s="100">
        <f t="shared" si="8"/>
        <v>0</v>
      </c>
      <c r="N41" s="182">
        <f t="shared" si="2"/>
        <v>5516.1970407759054</v>
      </c>
      <c r="P41" s="7" t="str">
        <f t="shared" si="9"/>
        <v>Bought 8000 Shares of State 1 at a cost of 5516.19704</v>
      </c>
      <c r="Q41" s="7" t="str">
        <f t="shared" si="11"/>
        <v/>
      </c>
      <c r="R41" s="185"/>
      <c r="W41" s="25">
        <v>12</v>
      </c>
      <c r="X41" s="453">
        <v>8000</v>
      </c>
      <c r="Y41" s="1144">
        <v>0</v>
      </c>
      <c r="Z41" s="826">
        <v>0</v>
      </c>
      <c r="AA41" s="229">
        <f t="shared" si="3"/>
        <v>0.99999999999475386</v>
      </c>
      <c r="AB41" s="1154">
        <f t="shared" si="0"/>
        <v>2.6230937696555332E-12</v>
      </c>
      <c r="AC41" s="227">
        <f t="shared" si="0"/>
        <v>2.6230937696555332E-12</v>
      </c>
      <c r="AD41" s="1145">
        <f t="shared" si="4"/>
        <v>8000.0000000015743</v>
      </c>
      <c r="AE41" s="1147">
        <f t="shared" si="12"/>
        <v>7670.4163134011415</v>
      </c>
      <c r="AL41" s="1167" t="s">
        <v>683</v>
      </c>
      <c r="AM41" s="1167"/>
      <c r="AN41" s="1167" t="s">
        <v>684</v>
      </c>
    </row>
    <row r="42" spans="4:48" s="7" customFormat="1" ht="18.75" x14ac:dyDescent="0.3">
      <c r="D42" s="25">
        <v>13</v>
      </c>
      <c r="E42" s="453">
        <v>6999.9934841833401</v>
      </c>
      <c r="F42" s="826">
        <v>0</v>
      </c>
      <c r="G42" s="229">
        <f t="shared" si="5"/>
        <v>0.81361651410763614</v>
      </c>
      <c r="H42" s="227">
        <f t="shared" si="1"/>
        <v>0.18638348589236392</v>
      </c>
      <c r="I42" s="1145">
        <f t="shared" si="6"/>
        <v>7979.7576343539467</v>
      </c>
      <c r="J42" s="1147">
        <f t="shared" si="7"/>
        <v>-828.88851408169921</v>
      </c>
      <c r="L42" s="114">
        <f t="shared" si="8"/>
        <v>-1000.0065158166599</v>
      </c>
      <c r="M42" s="100">
        <f t="shared" si="8"/>
        <v>0</v>
      </c>
      <c r="N42" s="182">
        <f t="shared" si="2"/>
        <v>-828.88851408169921</v>
      </c>
      <c r="P42" s="7" t="str">
        <f t="shared" si="9"/>
        <v>Sold 1000.00651581666 Shares of State 1 at a cost of -828.88851</v>
      </c>
      <c r="Q42" s="7" t="str">
        <f t="shared" si="11"/>
        <v/>
      </c>
      <c r="R42" s="185"/>
      <c r="W42" s="25">
        <v>13</v>
      </c>
      <c r="X42" s="453">
        <f>AL26</f>
        <v>6999.9934841833401</v>
      </c>
      <c r="Y42" s="1144">
        <f>Y41</f>
        <v>0</v>
      </c>
      <c r="Z42" s="826">
        <f>Z41</f>
        <v>0</v>
      </c>
      <c r="AA42" s="229">
        <f t="shared" si="3"/>
        <v>0.99999999985293764</v>
      </c>
      <c r="AB42" s="1154">
        <f t="shared" si="0"/>
        <v>7.3531177638622418E-11</v>
      </c>
      <c r="AC42" s="227">
        <f t="shared" si="0"/>
        <v>7.3531177638622418E-11</v>
      </c>
      <c r="AD42" s="1145">
        <f t="shared" si="4"/>
        <v>6999.9934842274588</v>
      </c>
      <c r="AE42" s="1147">
        <f t="shared" si="12"/>
        <v>-1000.0065157741155</v>
      </c>
      <c r="AG42" s="7" t="s">
        <v>685</v>
      </c>
      <c r="AH42" s="1157">
        <f>-AE42</f>
        <v>1000.0065157741155</v>
      </c>
      <c r="AI42" s="7" t="s">
        <v>682</v>
      </c>
      <c r="AJ42" s="7">
        <f>-(X42-X41)</f>
        <v>1000.0065158166599</v>
      </c>
      <c r="AK42" s="7" t="s">
        <v>666</v>
      </c>
      <c r="AL42" s="1071">
        <f>AA41</f>
        <v>0.99999999999475386</v>
      </c>
      <c r="AM42" s="744"/>
      <c r="AN42" s="1071">
        <f>AH42/AJ42</f>
        <v>0.99999999995745592</v>
      </c>
      <c r="AO42" s="1155"/>
      <c r="AP42" s="8"/>
      <c r="AQ42" s="1156" t="s">
        <v>670</v>
      </c>
      <c r="AR42" s="1159"/>
      <c r="AS42" s="1158"/>
      <c r="AT42" s="931"/>
      <c r="AU42" s="744">
        <f>AN42-AL42</f>
        <v>-3.7297942512282134E-11</v>
      </c>
      <c r="AV42" s="744">
        <f>AU42/AA41</f>
        <v>-3.7297942512477801E-11</v>
      </c>
    </row>
    <row r="43" spans="4:48" s="7" customFormat="1" ht="18.75" x14ac:dyDescent="0.3">
      <c r="D43" s="25">
        <v>14</v>
      </c>
      <c r="E43" s="453">
        <v>2500</v>
      </c>
      <c r="F43" s="826">
        <v>8000</v>
      </c>
      <c r="G43" s="229">
        <f t="shared" si="5"/>
        <v>0.23905003288236595</v>
      </c>
      <c r="H43" s="227">
        <f t="shared" si="1"/>
        <v>0.76094996711763407</v>
      </c>
      <c r="I43" s="1145">
        <f t="shared" si="6"/>
        <v>9297.6414301895275</v>
      </c>
      <c r="J43" s="1147">
        <f t="shared" si="7"/>
        <v>1317.8837958355807</v>
      </c>
      <c r="L43" s="114">
        <f t="shared" si="8"/>
        <v>-4499.9934841833401</v>
      </c>
      <c r="M43" s="100">
        <f t="shared" si="8"/>
        <v>8000</v>
      </c>
      <c r="N43" s="182">
        <f t="shared" si="2"/>
        <v>1317.8837958355807</v>
      </c>
      <c r="P43" s="7" t="str">
        <f t="shared" si="9"/>
        <v>Sold 4499.99348418334 Shares of State 1 at a cost of 1317.8838</v>
      </c>
      <c r="Q43" s="7" t="str">
        <f t="shared" si="11"/>
        <v>Bought 8000 Shares of State 2 at a cost of 1317.8838</v>
      </c>
      <c r="R43" s="185"/>
      <c r="W43" s="25">
        <v>14</v>
      </c>
      <c r="X43" s="453">
        <v>2500</v>
      </c>
      <c r="Y43" s="1144">
        <v>8000</v>
      </c>
      <c r="Z43" s="826">
        <v>8000</v>
      </c>
      <c r="AA43" s="229">
        <f t="shared" si="3"/>
        <v>5.456378643473531E-9</v>
      </c>
      <c r="AB43" s="1154">
        <f t="shared" si="0"/>
        <v>0.49999999727181071</v>
      </c>
      <c r="AC43" s="227">
        <f t="shared" si="0"/>
        <v>0.49999999727181071</v>
      </c>
      <c r="AD43" s="1145">
        <f t="shared" si="4"/>
        <v>8207.9441558048984</v>
      </c>
      <c r="AE43" s="1147">
        <f t="shared" si="12"/>
        <v>1207.9506715774396</v>
      </c>
    </row>
    <row r="44" spans="4:48" s="7" customFormat="1" ht="18.75" x14ac:dyDescent="0.3">
      <c r="D44" s="25">
        <v>15</v>
      </c>
      <c r="E44" s="453">
        <v>0</v>
      </c>
      <c r="F44" s="826">
        <v>8000</v>
      </c>
      <c r="G44" s="229">
        <f t="shared" si="5"/>
        <v>0.15653873044730005</v>
      </c>
      <c r="H44" s="227">
        <f t="shared" si="1"/>
        <v>0.84346126955269995</v>
      </c>
      <c r="I44" s="1145">
        <f t="shared" si="6"/>
        <v>8808.646148435646</v>
      </c>
      <c r="J44" s="1147">
        <f t="shared" si="7"/>
        <v>-488.9952817538815</v>
      </c>
      <c r="L44" s="114">
        <f t="shared" si="8"/>
        <v>-2500</v>
      </c>
      <c r="M44" s="100">
        <f t="shared" si="8"/>
        <v>0</v>
      </c>
      <c r="N44" s="182">
        <f t="shared" si="2"/>
        <v>-488.9952817538815</v>
      </c>
      <c r="P44" s="7" t="str">
        <f t="shared" si="9"/>
        <v>Sold 2500 Shares of State 1 at a cost of -488.99528</v>
      </c>
      <c r="Q44" s="7" t="str">
        <f t="shared" si="11"/>
        <v/>
      </c>
      <c r="R44" s="185"/>
      <c r="W44" s="25">
        <v>15</v>
      </c>
      <c r="X44" s="453">
        <f>AL27</f>
        <v>0</v>
      </c>
      <c r="Y44" s="1144">
        <f>Y43</f>
        <v>8000</v>
      </c>
      <c r="Z44" s="826">
        <f>Z43</f>
        <v>8000</v>
      </c>
      <c r="AA44" s="229">
        <f t="shared" si="3"/>
        <v>1.3115468848329272E-12</v>
      </c>
      <c r="AB44" s="1154">
        <f t="shared" si="0"/>
        <v>0.49999999999934425</v>
      </c>
      <c r="AC44" s="227">
        <f t="shared" si="0"/>
        <v>0.49999999999934425</v>
      </c>
      <c r="AD44" s="1145">
        <f t="shared" si="4"/>
        <v>8207.9441541683773</v>
      </c>
      <c r="AE44" s="1147">
        <f t="shared" si="12"/>
        <v>-1.636521119507961E-6</v>
      </c>
      <c r="AG44" s="7" t="s">
        <v>685</v>
      </c>
      <c r="AH44" s="1157">
        <f>-AE44</f>
        <v>1.636521119507961E-6</v>
      </c>
      <c r="AI44" s="7" t="s">
        <v>682</v>
      </c>
      <c r="AJ44" s="7">
        <f>-(X44-X43)</f>
        <v>2500</v>
      </c>
      <c r="AK44" s="7" t="s">
        <v>666</v>
      </c>
      <c r="AL44" s="1071">
        <f>AA43</f>
        <v>5.456378643473531E-9</v>
      </c>
      <c r="AM44" s="744"/>
      <c r="AN44" s="1071">
        <f>AH44/AJ44</f>
        <v>6.5460844780318438E-10</v>
      </c>
      <c r="AO44" s="1155"/>
      <c r="AP44" s="8"/>
      <c r="AQ44" s="1156" t="s">
        <v>670</v>
      </c>
      <c r="AR44" s="1159"/>
      <c r="AS44" s="1158"/>
      <c r="AT44" s="931"/>
      <c r="AU44" s="744">
        <f>AN44-AL44</f>
        <v>-4.8017701956703465E-9</v>
      </c>
      <c r="AV44" s="744">
        <f>AU44/AA43</f>
        <v>-0.8800287717227665</v>
      </c>
    </row>
    <row r="45" spans="4:48" s="7" customFormat="1" ht="19.5" thickBot="1" x14ac:dyDescent="0.35">
      <c r="D45" s="25">
        <v>16</v>
      </c>
      <c r="E45" s="453">
        <v>42</v>
      </c>
      <c r="F45" s="826">
        <v>0</v>
      </c>
      <c r="G45" s="229">
        <f t="shared" si="5"/>
        <v>0.50221051191380262</v>
      </c>
      <c r="H45" s="1148">
        <f t="shared" si="1"/>
        <v>0.49778948808619733</v>
      </c>
      <c r="I45" s="1149">
        <f t="shared" si="6"/>
        <v>3313.4955285611504</v>
      </c>
      <c r="J45" s="1150">
        <f>(I45-I44)</f>
        <v>-5495.1506198744955</v>
      </c>
      <c r="L45" s="119">
        <f t="shared" si="8"/>
        <v>42</v>
      </c>
      <c r="M45" s="102">
        <f t="shared" si="8"/>
        <v>-8000</v>
      </c>
      <c r="N45" s="182">
        <f t="shared" si="2"/>
        <v>-5495.1506198744955</v>
      </c>
      <c r="P45" s="7" t="str">
        <f t="shared" si="9"/>
        <v>Bought 42 Shares of State 1 at a cost of -5495.15062</v>
      </c>
      <c r="Q45" s="7" t="str">
        <f t="shared" si="11"/>
        <v>Sold 8000 Shares of State 2 at a cost of -5495.15062</v>
      </c>
      <c r="R45" s="185"/>
      <c r="W45" s="25">
        <v>16</v>
      </c>
      <c r="X45" s="453">
        <v>42</v>
      </c>
      <c r="Y45" s="1144">
        <v>0</v>
      </c>
      <c r="Z45" s="826">
        <v>4</v>
      </c>
      <c r="AA45" s="229">
        <f t="shared" si="3"/>
        <v>0.36358539097128778</v>
      </c>
      <c r="AB45" s="1154">
        <f t="shared" si="0"/>
        <v>0.31608595391158362</v>
      </c>
      <c r="AC45" s="1148">
        <f t="shared" si="0"/>
        <v>0.32032865511712855</v>
      </c>
      <c r="AD45" s="1149">
        <f t="shared" si="4"/>
        <v>345.52232889985447</v>
      </c>
      <c r="AE45" s="1150">
        <f t="shared" si="12"/>
        <v>-7862.4218252685232</v>
      </c>
    </row>
    <row r="46" spans="4:48" s="7" customFormat="1" ht="19.5" thickBot="1" x14ac:dyDescent="0.35">
      <c r="D46" s="25" t="s">
        <v>97</v>
      </c>
      <c r="E46" s="376">
        <v>42</v>
      </c>
      <c r="F46" s="373">
        <v>0</v>
      </c>
      <c r="G46" s="1165">
        <v>1</v>
      </c>
      <c r="H46" s="1166">
        <v>0</v>
      </c>
      <c r="I46" s="1152">
        <f t="shared" si="6"/>
        <v>3313.4955285611504</v>
      </c>
      <c r="J46" s="1075" t="s">
        <v>128</v>
      </c>
      <c r="Q46" s="8"/>
      <c r="R46" s="243"/>
      <c r="S46" s="8"/>
      <c r="W46" s="25" t="s">
        <v>97</v>
      </c>
      <c r="X46" s="376">
        <v>42</v>
      </c>
      <c r="Y46" s="1151">
        <v>0</v>
      </c>
      <c r="Z46" s="373">
        <v>4</v>
      </c>
      <c r="AA46" s="1165">
        <v>1</v>
      </c>
      <c r="AB46" s="1153"/>
      <c r="AC46" s="1166">
        <v>0</v>
      </c>
      <c r="AD46" s="1152">
        <f t="shared" si="4"/>
        <v>345.52232889985447</v>
      </c>
      <c r="AE46" s="1075" t="s">
        <v>128</v>
      </c>
    </row>
    <row r="47" spans="4:48" s="7" customFormat="1" ht="18.75" x14ac:dyDescent="0.3">
      <c r="D47"/>
      <c r="E47" s="274"/>
      <c r="F47" s="1020"/>
      <c r="G47" s="1167"/>
      <c r="H47" s="84"/>
      <c r="I47" s="813">
        <f>SUMPRODUCT(G46:H46,E46:F46)</f>
        <v>42</v>
      </c>
      <c r="J47" s="84" t="s">
        <v>109</v>
      </c>
      <c r="Q47"/>
      <c r="R47" s="185"/>
      <c r="S47"/>
      <c r="W47"/>
      <c r="X47" s="274"/>
      <c r="Y47" s="274"/>
      <c r="Z47" s="1020"/>
      <c r="AA47" s="1167"/>
      <c r="AB47" s="1167"/>
      <c r="AC47" s="84"/>
      <c r="AD47" s="813">
        <f>SUMPRODUCT(AA46:AC46,X46:Z46)</f>
        <v>42</v>
      </c>
      <c r="AE47" s="84" t="s">
        <v>109</v>
      </c>
    </row>
    <row r="48" spans="4:48" s="7" customFormat="1" ht="18.75" x14ac:dyDescent="0.3">
      <c r="E48" s="1167"/>
      <c r="F48" s="931"/>
      <c r="G48" s="1167"/>
      <c r="H48" s="1167"/>
      <c r="I48" s="813">
        <f>I46-I47</f>
        <v>3271.4955285611504</v>
      </c>
      <c r="J48" s="1167" t="s">
        <v>102</v>
      </c>
      <c r="R48" s="185"/>
      <c r="X48" s="17"/>
      <c r="Y48" s="17"/>
      <c r="Z48" s="239"/>
      <c r="AA48" s="17"/>
      <c r="AB48" s="17"/>
      <c r="AC48" s="17"/>
      <c r="AD48" s="813">
        <f>AD46-AD47</f>
        <v>303.52232889985447</v>
      </c>
      <c r="AE48" s="1167" t="s">
        <v>102</v>
      </c>
    </row>
    <row r="49" spans="2:36" s="7" customFormat="1" ht="18.75" x14ac:dyDescent="0.3">
      <c r="E49" s="17"/>
      <c r="F49" s="239"/>
      <c r="G49" s="17"/>
      <c r="H49" s="17"/>
      <c r="I49" s="194"/>
      <c r="J49" s="54"/>
      <c r="O49" s="8"/>
      <c r="P49" s="8"/>
      <c r="Q49" s="8"/>
      <c r="R49" s="243"/>
      <c r="S49" s="28"/>
    </row>
    <row r="50" spans="2:36" x14ac:dyDescent="0.25">
      <c r="B50" s="7"/>
      <c r="C50" s="7"/>
      <c r="E50" s="17"/>
      <c r="F50" s="239"/>
      <c r="G50" s="17"/>
      <c r="AH50" s="7"/>
      <c r="AI50" s="7"/>
      <c r="AJ50" s="7"/>
    </row>
    <row r="51" spans="2:36" ht="15.75" thickBot="1" x14ac:dyDescent="0.3">
      <c r="G51" s="290"/>
      <c r="H51" s="17"/>
      <c r="I51" s="17"/>
      <c r="J51" s="17"/>
      <c r="K51" s="7"/>
      <c r="L51" s="7"/>
      <c r="M51" s="7"/>
      <c r="N51" s="7"/>
      <c r="O51" s="7"/>
      <c r="P51" s="7"/>
      <c r="Q51" s="7"/>
      <c r="R51" s="7"/>
      <c r="S51" s="7"/>
      <c r="T51" s="7"/>
      <c r="U51" s="7"/>
      <c r="V51" s="7"/>
      <c r="W51" s="7"/>
      <c r="X51" s="7"/>
      <c r="Y51" s="7"/>
      <c r="Z51" s="7"/>
      <c r="AA51" s="7"/>
      <c r="AB51" s="7"/>
      <c r="AC51" s="7"/>
      <c r="AD51" s="7"/>
      <c r="AE51" s="7"/>
      <c r="AF51" s="7"/>
      <c r="AG51" s="7"/>
      <c r="AH51" s="7"/>
      <c r="AI51" s="7"/>
    </row>
    <row r="52" spans="2:36" ht="15.75" customHeight="1" thickBot="1" x14ac:dyDescent="0.3">
      <c r="D52" s="7"/>
      <c r="F52" s="17"/>
      <c r="G52" s="1689" t="s">
        <v>244</v>
      </c>
      <c r="H52" s="1690"/>
      <c r="I52" s="17"/>
      <c r="J52" s="1691" t="s">
        <v>659</v>
      </c>
      <c r="K52" s="7"/>
      <c r="L52" s="7"/>
      <c r="M52" s="7"/>
      <c r="N52" s="7"/>
      <c r="O52" s="7"/>
      <c r="P52" s="7"/>
      <c r="Q52" s="7"/>
      <c r="R52" s="7"/>
      <c r="S52" s="7"/>
      <c r="T52" s="7"/>
      <c r="U52" s="7"/>
      <c r="V52" s="7"/>
      <c r="W52" s="7"/>
      <c r="X52" s="7"/>
      <c r="Y52" s="7"/>
      <c r="Z52" s="7"/>
      <c r="AA52" s="7"/>
      <c r="AB52" s="7"/>
      <c r="AC52" s="7"/>
      <c r="AD52" s="7"/>
      <c r="AE52" s="7"/>
      <c r="AF52" s="7"/>
      <c r="AG52" s="7"/>
      <c r="AH52" s="7"/>
      <c r="AI52" s="7"/>
    </row>
    <row r="53" spans="2:36" x14ac:dyDescent="0.25">
      <c r="C53" s="7"/>
      <c r="D53" s="7"/>
      <c r="F53" s="17"/>
      <c r="G53" s="290"/>
      <c r="H53" s="17"/>
      <c r="I53" s="17"/>
      <c r="J53" s="1691"/>
      <c r="K53" s="7"/>
      <c r="L53" s="7"/>
      <c r="M53" s="7"/>
      <c r="N53" s="7"/>
      <c r="O53" s="7"/>
      <c r="P53" s="7"/>
      <c r="Q53" s="7"/>
      <c r="R53" s="7"/>
      <c r="S53" s="7"/>
      <c r="T53" s="7"/>
      <c r="U53" s="7"/>
      <c r="V53" s="7"/>
      <c r="W53" s="7"/>
      <c r="X53" s="7"/>
      <c r="Y53" s="7"/>
      <c r="Z53" s="7"/>
      <c r="AA53" s="7"/>
      <c r="AB53" s="7"/>
      <c r="AC53" s="7"/>
      <c r="AD53" s="7"/>
      <c r="AE53" s="7"/>
      <c r="AF53" s="7"/>
      <c r="AG53" s="7"/>
      <c r="AH53" s="7"/>
      <c r="AI53" s="7"/>
    </row>
    <row r="54" spans="2:36" x14ac:dyDescent="0.25">
      <c r="D54" s="7"/>
      <c r="F54" s="6"/>
      <c r="G54" s="17"/>
      <c r="H54" s="17"/>
      <c r="I54" s="17"/>
      <c r="J54" s="1691"/>
    </row>
    <row r="55" spans="2:36" ht="15" customHeight="1" x14ac:dyDescent="0.25">
      <c r="D55" s="7"/>
      <c r="F55" s="239"/>
      <c r="G55" s="17"/>
      <c r="H55" s="17"/>
      <c r="I55" s="17"/>
      <c r="J55" s="1691"/>
    </row>
    <row r="56" spans="2:36" x14ac:dyDescent="0.25">
      <c r="D56" s="7"/>
      <c r="F56" s="239"/>
      <c r="G56" s="17"/>
      <c r="H56" s="17"/>
      <c r="I56" s="17"/>
      <c r="J56" s="1691"/>
    </row>
    <row r="57" spans="2:36" x14ac:dyDescent="0.25">
      <c r="D57" s="7"/>
      <c r="F57" s="239"/>
      <c r="G57" s="17"/>
      <c r="H57" s="17"/>
      <c r="I57" s="17"/>
      <c r="J57" s="1691"/>
    </row>
    <row r="58" spans="2:36" x14ac:dyDescent="0.25">
      <c r="D58" s="7"/>
      <c r="F58" s="239"/>
      <c r="G58" s="17"/>
      <c r="H58" s="17"/>
      <c r="I58" s="17"/>
      <c r="J58" s="17"/>
    </row>
    <row r="59" spans="2:36" x14ac:dyDescent="0.25">
      <c r="D59" s="7"/>
      <c r="E59" s="31"/>
      <c r="F59" s="239"/>
      <c r="G59" s="17"/>
      <c r="H59" s="17"/>
      <c r="I59" s="17"/>
      <c r="J59" s="17"/>
    </row>
    <row r="60" spans="2:36" x14ac:dyDescent="0.25">
      <c r="D60" s="7"/>
      <c r="E60" s="31"/>
      <c r="F60" s="239"/>
      <c r="G60" s="17"/>
      <c r="H60" s="17"/>
      <c r="I60" s="17"/>
      <c r="J60" s="17"/>
    </row>
    <row r="61" spans="2:36" x14ac:dyDescent="0.25">
      <c r="F61" s="239"/>
      <c r="J61" s="17"/>
    </row>
    <row r="62" spans="2:36" x14ac:dyDescent="0.25">
      <c r="F62" s="239"/>
    </row>
  </sheetData>
  <mergeCells count="8">
    <mergeCell ref="G52:H52"/>
    <mergeCell ref="J52:J57"/>
    <mergeCell ref="B7:B9"/>
    <mergeCell ref="B15:B20"/>
    <mergeCell ref="W16:W21"/>
    <mergeCell ref="E23:F26"/>
    <mergeCell ref="G23:J26"/>
    <mergeCell ref="L28:M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2:AH66"/>
  <sheetViews>
    <sheetView zoomScale="85" zoomScaleNormal="85" workbookViewId="0">
      <selection activeCell="Y13" sqref="Y13"/>
    </sheetView>
  </sheetViews>
  <sheetFormatPr defaultRowHeight="15" x14ac:dyDescent="0.25"/>
  <cols>
    <col min="2" max="2" width="14.85546875" customWidth="1"/>
    <col min="3" max="3" width="8.85546875" customWidth="1"/>
    <col min="5" max="8" width="12.5703125" style="33" customWidth="1"/>
    <col min="9" max="9" width="19.140625" style="33" customWidth="1"/>
    <col min="10" max="10" width="22.140625" style="33" customWidth="1"/>
    <col min="11" max="11" width="15.5703125" customWidth="1"/>
    <col min="12" max="12" width="0" hidden="1" customWidth="1"/>
    <col min="13" max="13" width="9.42578125" hidden="1" customWidth="1"/>
    <col min="14" max="14" width="12.7109375" hidden="1" customWidth="1"/>
    <col min="15" max="15" width="10.28515625" hidden="1" customWidth="1"/>
    <col min="16" max="16" width="10.7109375" hidden="1" customWidth="1"/>
    <col min="17" max="17" width="0" hidden="1" customWidth="1"/>
    <col min="18" max="18" width="9.42578125" customWidth="1"/>
    <col min="20" max="20" width="12.140625" customWidth="1"/>
    <col min="21" max="21" width="10.5703125" customWidth="1"/>
    <col min="24" max="24" width="11.140625" customWidth="1"/>
  </cols>
  <sheetData>
    <row r="2" spans="1:34" ht="36" x14ac:dyDescent="0.55000000000000004">
      <c r="B2" s="241" t="s">
        <v>125</v>
      </c>
      <c r="G2" s="17"/>
      <c r="H2" s="17"/>
      <c r="I2" s="17"/>
      <c r="W2" s="33"/>
    </row>
    <row r="3" spans="1:34" ht="15" customHeight="1" x14ac:dyDescent="0.55000000000000004">
      <c r="B3" s="241"/>
      <c r="G3" s="17"/>
      <c r="H3" s="17"/>
      <c r="I3" s="17"/>
      <c r="W3" s="33"/>
    </row>
    <row r="4" spans="1:34" ht="15" customHeight="1" x14ac:dyDescent="0.55000000000000004">
      <c r="B4" s="241"/>
      <c r="G4" s="17"/>
      <c r="H4" s="17"/>
      <c r="I4" s="17"/>
      <c r="W4" s="33"/>
    </row>
    <row r="5" spans="1:34" ht="15" customHeight="1" x14ac:dyDescent="0.25">
      <c r="B5" s="7" t="s">
        <v>656</v>
      </c>
      <c r="G5" s="17"/>
      <c r="H5" s="17"/>
      <c r="I5" s="17"/>
      <c r="W5" s="33"/>
    </row>
    <row r="6" spans="1:34" ht="15" customHeight="1" x14ac:dyDescent="0.25">
      <c r="A6" s="7"/>
      <c r="B6" s="7" t="str" cm="1">
        <f t="array" aca="1" ref="B6" ca="1">"(Decisions are: questions that the oracle will need to answer. The oracle's ultimate answer is Orange in Cell: "&amp;CELL("address",G44)&amp;", below.)"</f>
        <v>(Decisions are: questions that the oracle will need to answer. The oracle's ultimate answer is Orange in Cell: $G$44, below.)</v>
      </c>
      <c r="C6" s="7"/>
      <c r="D6" s="7"/>
      <c r="E6" s="17"/>
      <c r="F6" s="239"/>
      <c r="G6" s="189"/>
      <c r="H6" s="17"/>
      <c r="I6" s="17"/>
      <c r="J6"/>
      <c r="N6" t="s">
        <v>127</v>
      </c>
      <c r="W6" s="33"/>
    </row>
    <row r="7" spans="1:34" ht="15" customHeight="1" x14ac:dyDescent="0.25">
      <c r="A7" s="7"/>
      <c r="B7" s="1564" t="s">
        <v>159</v>
      </c>
      <c r="C7" s="150" t="s">
        <v>4</v>
      </c>
      <c r="D7" s="264" t="s">
        <v>643</v>
      </c>
      <c r="E7" s="150"/>
      <c r="F7" s="264"/>
      <c r="G7" s="271"/>
      <c r="H7" s="259"/>
      <c r="I7" s="189"/>
      <c r="J7"/>
      <c r="U7" s="33"/>
      <c r="V7" s="33"/>
      <c r="W7" s="33"/>
    </row>
    <row r="8" spans="1:34" ht="15" customHeight="1" x14ac:dyDescent="0.25">
      <c r="A8" s="7"/>
      <c r="B8" s="1565"/>
      <c r="C8" s="17" t="s">
        <v>130</v>
      </c>
      <c r="D8" s="17" t="s">
        <v>3</v>
      </c>
      <c r="E8" s="7"/>
      <c r="F8" s="17"/>
      <c r="G8" s="189"/>
      <c r="H8" s="239"/>
      <c r="I8" s="189"/>
      <c r="J8"/>
      <c r="U8" s="33"/>
      <c r="V8" s="33"/>
      <c r="W8" s="33"/>
    </row>
    <row r="9" spans="1:34" ht="15" customHeight="1" x14ac:dyDescent="0.25">
      <c r="A9" s="7"/>
      <c r="B9" s="1566"/>
      <c r="C9" s="257" t="s">
        <v>131</v>
      </c>
      <c r="D9" s="257" t="s">
        <v>2</v>
      </c>
      <c r="E9" s="245"/>
      <c r="F9" s="257"/>
      <c r="G9" s="272"/>
      <c r="H9" s="260"/>
      <c r="I9" s="189"/>
      <c r="J9"/>
      <c r="U9" s="33"/>
      <c r="V9" s="33"/>
      <c r="W9" s="33"/>
    </row>
    <row r="10" spans="1:34" ht="15" customHeight="1" x14ac:dyDescent="0.25">
      <c r="A10" s="7"/>
      <c r="B10" s="256"/>
      <c r="C10" s="17"/>
      <c r="D10" s="17"/>
      <c r="E10" s="7"/>
      <c r="F10" s="17"/>
      <c r="G10" s="189"/>
      <c r="H10" s="17"/>
      <c r="I10" s="189"/>
      <c r="J10"/>
      <c r="U10" s="33"/>
      <c r="V10" s="33"/>
      <c r="W10" s="33"/>
    </row>
    <row r="11" spans="1:34" ht="15" customHeight="1" x14ac:dyDescent="0.25">
      <c r="A11" s="7"/>
      <c r="B11" s="256"/>
      <c r="C11" s="17"/>
      <c r="D11" s="17"/>
      <c r="E11" s="7"/>
      <c r="F11" s="17"/>
      <c r="G11" s="189"/>
      <c r="H11" s="17"/>
      <c r="I11" s="189"/>
      <c r="J11"/>
      <c r="U11" s="33"/>
      <c r="V11" s="33"/>
      <c r="W11" s="33"/>
    </row>
    <row r="12" spans="1:34" ht="15" customHeight="1" x14ac:dyDescent="0.25">
      <c r="A12" s="7"/>
      <c r="B12" s="255" t="s">
        <v>660</v>
      </c>
      <c r="C12" s="17"/>
      <c r="D12" s="17"/>
      <c r="E12" s="7"/>
      <c r="F12" s="17"/>
      <c r="G12" s="189"/>
      <c r="H12" s="17"/>
      <c r="I12" s="189"/>
      <c r="J12"/>
      <c r="U12" s="33"/>
      <c r="V12" s="33"/>
      <c r="W12" s="33"/>
    </row>
    <row r="13" spans="1:34" ht="15" customHeight="1" x14ac:dyDescent="0.25">
      <c r="A13" s="7"/>
      <c r="B13" s="1140" t="str" cm="1">
        <f t="array" aca="1" ref="B13" ca="1">"Building a market requires 'sacrifical capital', shown in cell: "&amp;CELL("address",D17)&amp;"."</f>
        <v>Building a market requires 'sacrifical capital', shown in cell: $D$17.</v>
      </c>
      <c r="C13" s="17"/>
      <c r="D13" s="17"/>
      <c r="E13" s="7"/>
      <c r="F13" s="17"/>
      <c r="G13" s="189"/>
      <c r="H13" s="17"/>
      <c r="I13" s="189"/>
      <c r="J13"/>
      <c r="U13" s="33"/>
      <c r="V13" s="33"/>
      <c r="W13" s="33"/>
    </row>
    <row r="14" spans="1:34" ht="15.75" thickBot="1" x14ac:dyDescent="0.3">
      <c r="A14" s="7"/>
      <c r="B14" s="1140" t="str" cm="1">
        <f t="array" aca="1" ref="B14" ca="1">"The more capital, the more liquidity (indicated by the 'beta' parameter, in cell: "&amp;CELL("address",D17)&amp;")."</f>
        <v>The more capital, the more liquidity (indicated by the 'beta' parameter, in cell: $D$17).</v>
      </c>
      <c r="C14" s="17"/>
      <c r="D14" s="17"/>
      <c r="E14" s="7"/>
      <c r="F14" s="239"/>
      <c r="G14" s="189"/>
      <c r="H14" s="17"/>
      <c r="I14" s="189"/>
      <c r="J14"/>
      <c r="U14" s="33"/>
      <c r="V14" s="33"/>
      <c r="W14" s="33"/>
    </row>
    <row r="15" spans="1:34" x14ac:dyDescent="0.25">
      <c r="A15" s="7"/>
      <c r="B15" s="1567" t="s">
        <v>148</v>
      </c>
      <c r="C15" s="273" t="s">
        <v>160</v>
      </c>
      <c r="D15" s="276" t="s">
        <v>161</v>
      </c>
      <c r="E15" s="251" t="s">
        <v>162</v>
      </c>
      <c r="F15" s="251"/>
      <c r="G15" s="178"/>
      <c r="H15" s="17"/>
      <c r="I15" s="189"/>
      <c r="J15"/>
      <c r="U15" s="33"/>
      <c r="V15" s="33"/>
      <c r="W15" s="33"/>
    </row>
    <row r="16" spans="1:34" x14ac:dyDescent="0.25">
      <c r="A16" s="7"/>
      <c r="B16" s="1568"/>
      <c r="C16" s="17" t="s">
        <v>135</v>
      </c>
      <c r="D16" s="254">
        <v>2</v>
      </c>
      <c r="E16" s="17" t="s">
        <v>136</v>
      </c>
      <c r="F16" s="7"/>
      <c r="G16" s="277"/>
      <c r="H16" s="17"/>
      <c r="I16" s="189"/>
      <c r="J16"/>
      <c r="S16" t="s">
        <v>808</v>
      </c>
      <c r="U16" s="33"/>
      <c r="V16" s="33"/>
      <c r="W16" s="33"/>
      <c r="AF16" s="7"/>
      <c r="AG16" s="7"/>
      <c r="AH16" s="7"/>
    </row>
    <row r="17" spans="1:34" x14ac:dyDescent="0.25">
      <c r="A17" s="7"/>
      <c r="B17" s="1568"/>
      <c r="C17" s="17" t="s">
        <v>5</v>
      </c>
      <c r="D17" s="18">
        <v>7</v>
      </c>
      <c r="E17" s="17" t="s">
        <v>139</v>
      </c>
      <c r="F17" s="7"/>
      <c r="G17" s="277"/>
      <c r="H17" s="17"/>
      <c r="I17" s="189"/>
      <c r="J17"/>
      <c r="U17" s="33"/>
      <c r="V17" s="33"/>
      <c r="W17" s="33"/>
      <c r="AF17" s="7"/>
      <c r="AG17" s="7"/>
      <c r="AH17" s="7"/>
    </row>
    <row r="18" spans="1:34" ht="15.75" thickBot="1" x14ac:dyDescent="0.3">
      <c r="A18" s="7"/>
      <c r="B18" s="1569"/>
      <c r="C18" s="166" t="s">
        <v>137</v>
      </c>
      <c r="D18" s="275">
        <f>D17*LN(D16)</f>
        <v>4.8520302639196169</v>
      </c>
      <c r="E18" s="166" t="s">
        <v>138</v>
      </c>
      <c r="F18" s="166"/>
      <c r="G18" s="179"/>
      <c r="H18" s="17"/>
      <c r="I18" s="189"/>
      <c r="J18"/>
      <c r="U18" s="33"/>
      <c r="V18" s="33"/>
      <c r="W18" s="33"/>
      <c r="AF18" s="7"/>
      <c r="AG18" s="7"/>
      <c r="AH18" s="7"/>
    </row>
    <row r="19" spans="1:34" s="7" customFormat="1" x14ac:dyDescent="0.25">
      <c r="C19"/>
      <c r="D19"/>
      <c r="E19" s="33"/>
      <c r="F19" s="239"/>
      <c r="G19" s="33"/>
      <c r="H19" s="33"/>
      <c r="I19" s="33"/>
      <c r="J19" s="33"/>
      <c r="K19"/>
      <c r="L19"/>
      <c r="M19"/>
      <c r="N19"/>
      <c r="O19"/>
      <c r="P19"/>
      <c r="Q19"/>
      <c r="R19"/>
      <c r="S19"/>
      <c r="T19" s="8"/>
    </row>
    <row r="20" spans="1:34" s="7" customFormat="1" x14ac:dyDescent="0.25">
      <c r="C20"/>
      <c r="D20"/>
      <c r="E20" s="33"/>
      <c r="F20" s="260"/>
      <c r="G20" s="33"/>
      <c r="H20" s="33"/>
      <c r="I20" s="33"/>
      <c r="J20" s="33"/>
      <c r="K20"/>
      <c r="L20"/>
      <c r="M20"/>
      <c r="N20"/>
      <c r="O20"/>
      <c r="P20"/>
      <c r="Q20"/>
      <c r="R20"/>
      <c r="S20"/>
      <c r="T20" s="8"/>
    </row>
    <row r="21" spans="1:34" s="7" customFormat="1" x14ac:dyDescent="0.25">
      <c r="C21"/>
      <c r="D21"/>
      <c r="E21" s="1572" t="s">
        <v>658</v>
      </c>
      <c r="F21" s="1573"/>
      <c r="G21" s="1578" t="s">
        <v>657</v>
      </c>
      <c r="H21" s="1579"/>
      <c r="I21" s="1579"/>
      <c r="J21" s="1580"/>
      <c r="K21"/>
      <c r="L21"/>
      <c r="M21"/>
      <c r="N21"/>
      <c r="O21"/>
      <c r="P21"/>
      <c r="Q21"/>
      <c r="R21"/>
      <c r="S21"/>
      <c r="T21" s="8"/>
    </row>
    <row r="22" spans="1:34" s="7" customFormat="1" x14ac:dyDescent="0.25">
      <c r="C22"/>
      <c r="D22"/>
      <c r="E22" s="1574"/>
      <c r="F22" s="1575"/>
      <c r="G22" s="1581"/>
      <c r="H22" s="1582"/>
      <c r="I22" s="1582"/>
      <c r="J22" s="1583"/>
      <c r="K22"/>
      <c r="L22"/>
      <c r="M22"/>
      <c r="N22"/>
      <c r="O22"/>
      <c r="P22"/>
      <c r="Q22"/>
      <c r="R22"/>
      <c r="S22"/>
      <c r="T22" s="8"/>
    </row>
    <row r="23" spans="1:34" s="7" customFormat="1" x14ac:dyDescent="0.25">
      <c r="C23"/>
      <c r="D23"/>
      <c r="E23" s="1574"/>
      <c r="F23" s="1575"/>
      <c r="G23" s="1581"/>
      <c r="H23" s="1582"/>
      <c r="I23" s="1582"/>
      <c r="J23" s="1583"/>
      <c r="K23"/>
      <c r="L23"/>
      <c r="M23"/>
      <c r="N23"/>
      <c r="O23"/>
      <c r="P23"/>
      <c r="Q23"/>
      <c r="R23"/>
      <c r="S23"/>
      <c r="T23" s="8"/>
    </row>
    <row r="24" spans="1:34" s="7" customFormat="1" x14ac:dyDescent="0.25">
      <c r="C24"/>
      <c r="D24"/>
      <c r="E24" s="1576"/>
      <c r="F24" s="1577"/>
      <c r="G24" s="1584"/>
      <c r="H24" s="1585"/>
      <c r="I24" s="1585"/>
      <c r="J24" s="1586"/>
      <c r="K24"/>
      <c r="L24"/>
      <c r="M24"/>
      <c r="N24"/>
      <c r="O24"/>
      <c r="P24"/>
      <c r="Q24"/>
      <c r="R24"/>
      <c r="S24"/>
      <c r="T24" s="8"/>
    </row>
    <row r="25" spans="1:34" s="7" customFormat="1" ht="15.75" thickBot="1" x14ac:dyDescent="0.3">
      <c r="C25"/>
      <c r="D25"/>
      <c r="E25" s="33"/>
      <c r="F25" s="1139"/>
      <c r="G25" s="33"/>
      <c r="H25" s="33"/>
      <c r="I25" s="33"/>
      <c r="J25" s="33"/>
      <c r="K25"/>
      <c r="L25"/>
      <c r="M25"/>
      <c r="N25"/>
      <c r="O25"/>
      <c r="P25"/>
      <c r="Q25"/>
      <c r="R25"/>
      <c r="S25"/>
      <c r="T25" s="8"/>
    </row>
    <row r="26" spans="1:34" s="7" customFormat="1" ht="24.75" customHeight="1" thickBot="1" x14ac:dyDescent="0.35">
      <c r="D26"/>
      <c r="E26" s="199" t="s">
        <v>12</v>
      </c>
      <c r="F26" s="201"/>
      <c r="G26" s="296" t="s">
        <v>1291</v>
      </c>
      <c r="H26" s="62"/>
      <c r="I26" s="63" t="s">
        <v>119</v>
      </c>
      <c r="J26" s="240" t="s">
        <v>120</v>
      </c>
      <c r="K26" s="20"/>
      <c r="L26" s="1570" t="s">
        <v>98</v>
      </c>
      <c r="M26" s="1571"/>
      <c r="N26" s="183" t="s">
        <v>99</v>
      </c>
      <c r="P26" s="7" t="s">
        <v>100</v>
      </c>
      <c r="Q26" s="20"/>
      <c r="R26" s="184" t="s">
        <v>100</v>
      </c>
      <c r="S26" s="20"/>
    </row>
    <row r="27" spans="1:34" s="7" customFormat="1" ht="16.5" thickTop="1" thickBot="1" x14ac:dyDescent="0.3">
      <c r="C27" s="32"/>
      <c r="D27" s="115" t="s">
        <v>45</v>
      </c>
      <c r="E27" s="247" t="s">
        <v>705</v>
      </c>
      <c r="F27" s="248" t="s">
        <v>706</v>
      </c>
      <c r="G27" s="174" t="s">
        <v>703</v>
      </c>
      <c r="H27" s="173" t="s">
        <v>704</v>
      </c>
      <c r="I27" s="293">
        <v>0</v>
      </c>
      <c r="J27" s="43"/>
      <c r="L27" s="180" t="str">
        <f>E27</f>
        <v>"Yes" (a=0)</v>
      </c>
      <c r="M27" s="181" t="str">
        <f>F27</f>
        <v>"No" (a=1)</v>
      </c>
      <c r="R27"/>
    </row>
    <row r="28" spans="1:34" s="7" customFormat="1" ht="18" customHeight="1" thickTop="1" x14ac:dyDescent="0.25">
      <c r="B28" s="7" t="s">
        <v>712</v>
      </c>
      <c r="D28" s="25">
        <v>1</v>
      </c>
      <c r="E28" s="205">
        <v>0</v>
      </c>
      <c r="F28" s="292">
        <v>0</v>
      </c>
      <c r="G28" s="291">
        <f t="shared" ref="G28:G43" si="0">EXP(E28/$D$17)/(EXP($F28/$D$17)+EXP($E28/$D$17))</f>
        <v>0.5</v>
      </c>
      <c r="H28" s="79">
        <f t="shared" ref="H28:H43" si="1">EXP(F28/$D$17)/(EXP($F28/$D$17)+EXP($E28/$D$17))</f>
        <v>0.5</v>
      </c>
      <c r="I28" s="302">
        <f t="shared" ref="I28:I44" si="2">$D$17*LN(EXP($F28/$D$17)+EXP($E28/$D$17))</f>
        <v>4.8520302639196169</v>
      </c>
      <c r="J28" s="306">
        <f>(I28-I27)</f>
        <v>4.8520302639196169</v>
      </c>
      <c r="L28" s="114"/>
      <c r="M28" s="100"/>
      <c r="R28" t="str">
        <f>"(Market created via initial deposit of "&amp;ROUND(J28,3)&amp;" )"</f>
        <v>(Market created via initial deposit of 4.852 )</v>
      </c>
      <c r="X28" s="187"/>
    </row>
    <row r="29" spans="1:34" s="7" customFormat="1" ht="18.75" x14ac:dyDescent="0.3">
      <c r="B29" s="7" t="s">
        <v>713</v>
      </c>
      <c r="D29" s="25">
        <v>2</v>
      </c>
      <c r="E29" s="205">
        <v>1</v>
      </c>
      <c r="F29" s="292">
        <v>0</v>
      </c>
      <c r="G29" s="291">
        <f t="shared" si="0"/>
        <v>0.53565367083397153</v>
      </c>
      <c r="H29" s="79">
        <f t="shared" si="1"/>
        <v>0.46434632916602836</v>
      </c>
      <c r="I29" s="302">
        <f t="shared" si="2"/>
        <v>5.3698722427589098</v>
      </c>
      <c r="J29" s="307">
        <f>(I29-I28)</f>
        <v>0.51784197883929295</v>
      </c>
      <c r="L29" s="114">
        <f>E29-E28</f>
        <v>1</v>
      </c>
      <c r="M29" s="100">
        <f>F29-F28</f>
        <v>0</v>
      </c>
      <c r="N29" s="182">
        <f t="shared" ref="N29:N43" si="3">J29</f>
        <v>0.51784197883929295</v>
      </c>
      <c r="P29" s="7" t="str">
        <f>IF(L29&gt;0,"Bought ",IF(L29&lt;0,"Sold ",""))&amp;IF(L29&lt;0,L29*-1,IF(L29&gt;0,L29,""))&amp;IF(L29&lt;&gt;0," Shares of State 1 at a cost of "&amp;ROUND($N29,5),"")</f>
        <v>Bought 1 Shares of State 1 at a cost of 0.51784</v>
      </c>
      <c r="Q29" s="7" t="str">
        <f>IF(M29&gt;0,"Bought ",IF(M29&lt;0,"Sold ",""))&amp;IF(M29&lt;0,M29*-1,IF(M29&gt;0,M29,""))&amp;IF(M29&lt;&gt;0," Shares of State 2 at a cost of "&amp;ROUND($N29,5),"")</f>
        <v/>
      </c>
      <c r="R29" s="185" t="str">
        <f>P29&amp;Q29</f>
        <v>Bought 1 Shares of State 1 at a cost of 0.51784</v>
      </c>
    </row>
    <row r="30" spans="1:34" s="7" customFormat="1" ht="18.75" x14ac:dyDescent="0.3">
      <c r="D30" s="25">
        <v>3</v>
      </c>
      <c r="E30" s="205">
        <v>1</v>
      </c>
      <c r="F30" s="292">
        <v>6</v>
      </c>
      <c r="G30" s="291">
        <f t="shared" si="0"/>
        <v>0.32865254651727005</v>
      </c>
      <c r="H30" s="79">
        <f t="shared" si="1"/>
        <v>0.67134745348273006</v>
      </c>
      <c r="I30" s="302">
        <f t="shared" si="2"/>
        <v>8.7892792311985044</v>
      </c>
      <c r="J30" s="307">
        <f>(I30-I29)</f>
        <v>3.4194069884395946</v>
      </c>
      <c r="L30" s="114">
        <f t="shared" ref="L30:L43" si="4">E30-E29</f>
        <v>0</v>
      </c>
      <c r="M30" s="100">
        <f t="shared" ref="M30:M43" si="5">F30-F29</f>
        <v>6</v>
      </c>
      <c r="N30" s="182">
        <f t="shared" si="3"/>
        <v>3.4194069884395946</v>
      </c>
      <c r="P30" s="7" t="str">
        <f t="shared" ref="P30:P43" si="6">IF(L30&gt;0,"Bought ",IF(L30&lt;0,"Sold ",""))&amp;IF(L30&lt;0,L30*-1,IF(L30&gt;0,L30,""))&amp;IF(L30&lt;&gt;0," Shares of State 1 at a cost of "&amp;ROUND($N30,5),"")</f>
        <v/>
      </c>
      <c r="Q30" s="7" t="str">
        <f>IF(M30&gt;0,"Bought ",IF(M30&lt;0,"Sold ",""))&amp;IF(M30&lt;0,M30*-1,IF(M30&gt;0,M30,""))&amp;IF(M30&lt;&gt;0," Shares of State 2 at a cost of "&amp;ROUND($N30,5),"")</f>
        <v>Bought 6 Shares of State 2 at a cost of 3.41941</v>
      </c>
      <c r="R30" s="185" t="str">
        <f t="shared" ref="R30:R43" si="7">P30&amp;Q30</f>
        <v>Bought 6 Shares of State 2 at a cost of 3.41941</v>
      </c>
    </row>
    <row r="31" spans="1:34" s="7" customFormat="1" ht="18.75" x14ac:dyDescent="0.3">
      <c r="D31" s="25">
        <v>4</v>
      </c>
      <c r="E31" s="205">
        <v>18</v>
      </c>
      <c r="F31" s="292">
        <v>6</v>
      </c>
      <c r="G31" s="291">
        <f t="shared" si="0"/>
        <v>0.84739133515736897</v>
      </c>
      <c r="H31" s="79">
        <f t="shared" si="1"/>
        <v>0.152608664842631</v>
      </c>
      <c r="I31" s="302">
        <f t="shared" si="2"/>
        <v>19.159148662361027</v>
      </c>
      <c r="J31" s="307">
        <f t="shared" ref="J31:J40" si="8">(I31-I30)</f>
        <v>10.369869431162522</v>
      </c>
      <c r="L31" s="114">
        <f t="shared" si="4"/>
        <v>17</v>
      </c>
      <c r="M31" s="100">
        <f t="shared" si="5"/>
        <v>0</v>
      </c>
      <c r="N31" s="182">
        <f t="shared" si="3"/>
        <v>10.369869431162522</v>
      </c>
      <c r="P31" s="7" t="str">
        <f t="shared" si="6"/>
        <v>Bought 17 Shares of State 1 at a cost of 10.36987</v>
      </c>
      <c r="Q31" s="7" t="str">
        <f t="shared" ref="Q31:Q43" si="9">IF(M31&gt;0,"Bought ",IF(M31&lt;0,"Sold ",""))&amp;IF(M31&lt;0,M31*-1,IF(M31&gt;0,M31,""))&amp;IF(M31&lt;&gt;0," Shares of State 2 at a cost of "&amp;ROUND($N31,5),"")</f>
        <v/>
      </c>
      <c r="R31" s="185" t="str">
        <f t="shared" si="7"/>
        <v>Bought 17 Shares of State 1 at a cost of 10.36987</v>
      </c>
    </row>
    <row r="32" spans="1:34" s="7" customFormat="1" ht="18.75" x14ac:dyDescent="0.3">
      <c r="D32" s="25">
        <v>5</v>
      </c>
      <c r="E32" s="205">
        <v>18</v>
      </c>
      <c r="F32" s="292">
        <v>18</v>
      </c>
      <c r="G32" s="291">
        <f t="shared" si="0"/>
        <v>0.5</v>
      </c>
      <c r="H32" s="79">
        <f t="shared" si="1"/>
        <v>0.5</v>
      </c>
      <c r="I32" s="302">
        <f t="shared" si="2"/>
        <v>22.85203026391962</v>
      </c>
      <c r="J32" s="307">
        <f t="shared" si="8"/>
        <v>3.692881601558593</v>
      </c>
      <c r="L32" s="114">
        <f t="shared" si="4"/>
        <v>0</v>
      </c>
      <c r="M32" s="100">
        <f t="shared" si="5"/>
        <v>12</v>
      </c>
      <c r="N32" s="182">
        <f t="shared" si="3"/>
        <v>3.692881601558593</v>
      </c>
      <c r="P32" s="7" t="str">
        <f t="shared" si="6"/>
        <v/>
      </c>
      <c r="Q32" s="7" t="str">
        <f t="shared" si="9"/>
        <v>Bought 12 Shares of State 2 at a cost of 3.69288</v>
      </c>
      <c r="R32" s="185" t="str">
        <f t="shared" si="7"/>
        <v>Bought 12 Shares of State 2 at a cost of 3.69288</v>
      </c>
    </row>
    <row r="33" spans="1:34" s="7" customFormat="1" ht="18.75" x14ac:dyDescent="0.3">
      <c r="D33" s="25">
        <v>6</v>
      </c>
      <c r="E33" s="205">
        <v>32</v>
      </c>
      <c r="F33" s="292">
        <v>18</v>
      </c>
      <c r="G33" s="291">
        <f t="shared" si="0"/>
        <v>0.88079707797788231</v>
      </c>
      <c r="H33" s="79">
        <f t="shared" si="1"/>
        <v>0.11920292202211759</v>
      </c>
      <c r="I33" s="302">
        <f t="shared" si="2"/>
        <v>32.8884960773008</v>
      </c>
      <c r="J33" s="307">
        <f t="shared" si="8"/>
        <v>10.036465813381181</v>
      </c>
      <c r="L33" s="114">
        <f t="shared" si="4"/>
        <v>14</v>
      </c>
      <c r="M33" s="100">
        <f t="shared" si="5"/>
        <v>0</v>
      </c>
      <c r="N33" s="182">
        <f t="shared" si="3"/>
        <v>10.036465813381181</v>
      </c>
      <c r="P33" s="7" t="str">
        <f t="shared" si="6"/>
        <v>Bought 14 Shares of State 1 at a cost of 10.03647</v>
      </c>
      <c r="Q33" s="7" t="str">
        <f t="shared" si="9"/>
        <v/>
      </c>
      <c r="R33" s="185" t="str">
        <f t="shared" si="7"/>
        <v>Bought 14 Shares of State 1 at a cost of 10.03647</v>
      </c>
    </row>
    <row r="34" spans="1:34" s="7" customFormat="1" ht="18.75" x14ac:dyDescent="0.3">
      <c r="D34" s="25">
        <v>7</v>
      </c>
      <c r="E34" s="205">
        <v>32</v>
      </c>
      <c r="F34" s="292">
        <v>30</v>
      </c>
      <c r="G34" s="291">
        <f t="shared" si="0"/>
        <v>0.57094659688346627</v>
      </c>
      <c r="H34" s="79">
        <f t="shared" si="1"/>
        <v>0.42905340311653373</v>
      </c>
      <c r="I34" s="302">
        <f t="shared" si="2"/>
        <v>35.923217195086352</v>
      </c>
      <c r="J34" s="307">
        <f t="shared" si="8"/>
        <v>3.0347211177855513</v>
      </c>
      <c r="L34" s="114">
        <f t="shared" si="4"/>
        <v>0</v>
      </c>
      <c r="M34" s="100">
        <f t="shared" si="5"/>
        <v>12</v>
      </c>
      <c r="N34" s="182">
        <f t="shared" si="3"/>
        <v>3.0347211177855513</v>
      </c>
      <c r="P34" s="7" t="str">
        <f t="shared" si="6"/>
        <v/>
      </c>
      <c r="Q34" s="7" t="str">
        <f t="shared" si="9"/>
        <v>Bought 12 Shares of State 2 at a cost of 3.03472</v>
      </c>
      <c r="R34" s="185" t="str">
        <f t="shared" si="7"/>
        <v>Bought 12 Shares of State 2 at a cost of 3.03472</v>
      </c>
    </row>
    <row r="35" spans="1:34" s="7" customFormat="1" ht="18.75" x14ac:dyDescent="0.3">
      <c r="D35" s="25">
        <v>8</v>
      </c>
      <c r="E35" s="205">
        <v>39</v>
      </c>
      <c r="F35" s="292">
        <v>30</v>
      </c>
      <c r="G35" s="291">
        <f t="shared" si="0"/>
        <v>0.78342090423182409</v>
      </c>
      <c r="H35" s="79">
        <f t="shared" si="1"/>
        <v>0.21657909576817599</v>
      </c>
      <c r="I35" s="302">
        <f t="shared" si="2"/>
        <v>40.70859621886801</v>
      </c>
      <c r="J35" s="307">
        <f t="shared" si="8"/>
        <v>4.7853790237816582</v>
      </c>
      <c r="L35" s="114">
        <f t="shared" si="4"/>
        <v>7</v>
      </c>
      <c r="M35" s="100">
        <f t="shared" si="5"/>
        <v>0</v>
      </c>
      <c r="N35" s="182">
        <f t="shared" si="3"/>
        <v>4.7853790237816582</v>
      </c>
      <c r="P35" s="7" t="str">
        <f t="shared" si="6"/>
        <v>Bought 7 Shares of State 1 at a cost of 4.78538</v>
      </c>
      <c r="Q35" s="7" t="str">
        <f t="shared" si="9"/>
        <v/>
      </c>
      <c r="R35" s="185" t="str">
        <f t="shared" si="7"/>
        <v>Bought 7 Shares of State 1 at a cost of 4.78538</v>
      </c>
    </row>
    <row r="36" spans="1:34" s="7" customFormat="1" ht="18.75" x14ac:dyDescent="0.3">
      <c r="D36" s="25">
        <v>9</v>
      </c>
      <c r="E36" s="205">
        <v>39</v>
      </c>
      <c r="F36" s="292">
        <v>43</v>
      </c>
      <c r="G36" s="291">
        <f t="shared" si="0"/>
        <v>0.36090725483714864</v>
      </c>
      <c r="H36" s="79">
        <f t="shared" si="1"/>
        <v>0.63909274516285142</v>
      </c>
      <c r="I36" s="302">
        <f t="shared" si="2"/>
        <v>46.133939858256404</v>
      </c>
      <c r="J36" s="307">
        <f t="shared" si="8"/>
        <v>5.4253436393883945</v>
      </c>
      <c r="L36" s="114">
        <f t="shared" si="4"/>
        <v>0</v>
      </c>
      <c r="M36" s="100">
        <f t="shared" si="5"/>
        <v>13</v>
      </c>
      <c r="N36" s="182">
        <f t="shared" si="3"/>
        <v>5.4253436393883945</v>
      </c>
      <c r="P36" s="7" t="str">
        <f t="shared" si="6"/>
        <v/>
      </c>
      <c r="Q36" s="7" t="str">
        <f t="shared" si="9"/>
        <v>Bought 13 Shares of State 2 at a cost of 5.42534</v>
      </c>
      <c r="R36" s="185" t="str">
        <f t="shared" si="7"/>
        <v>Bought 13 Shares of State 2 at a cost of 5.42534</v>
      </c>
    </row>
    <row r="37" spans="1:34" s="7" customFormat="1" ht="18.75" x14ac:dyDescent="0.3">
      <c r="D37" s="25">
        <v>10</v>
      </c>
      <c r="E37" s="205">
        <v>57</v>
      </c>
      <c r="F37" s="292">
        <v>43</v>
      </c>
      <c r="G37" s="291">
        <f t="shared" si="0"/>
        <v>0.88079707797788231</v>
      </c>
      <c r="H37" s="79">
        <f t="shared" si="1"/>
        <v>0.11920292202211764</v>
      </c>
      <c r="I37" s="302">
        <f t="shared" si="2"/>
        <v>57.8884960773008</v>
      </c>
      <c r="J37" s="307">
        <f>(I37-I36)</f>
        <v>11.754556219044396</v>
      </c>
      <c r="L37" s="114">
        <f t="shared" si="4"/>
        <v>18</v>
      </c>
      <c r="M37" s="100">
        <f t="shared" si="5"/>
        <v>0</v>
      </c>
      <c r="N37" s="182">
        <f t="shared" si="3"/>
        <v>11.754556219044396</v>
      </c>
      <c r="P37" s="7" t="str">
        <f t="shared" si="6"/>
        <v>Bought 18 Shares of State 1 at a cost of 11.75456</v>
      </c>
      <c r="Q37" s="7" t="str">
        <f t="shared" si="9"/>
        <v/>
      </c>
      <c r="R37" s="185" t="str">
        <f t="shared" si="7"/>
        <v>Bought 18 Shares of State 1 at a cost of 11.75456</v>
      </c>
    </row>
    <row r="38" spans="1:34" s="7" customFormat="1" ht="18.75" x14ac:dyDescent="0.3">
      <c r="D38" s="25">
        <v>11</v>
      </c>
      <c r="E38" s="205">
        <v>57</v>
      </c>
      <c r="F38" s="292">
        <v>61</v>
      </c>
      <c r="G38" s="291">
        <f t="shared" si="0"/>
        <v>0.36090725483714881</v>
      </c>
      <c r="H38" s="79">
        <f t="shared" si="1"/>
        <v>0.63909274516285108</v>
      </c>
      <c r="I38" s="302">
        <f t="shared" si="2"/>
        <v>64.133939858256412</v>
      </c>
      <c r="J38" s="307">
        <f t="shared" si="8"/>
        <v>6.2454437809556111</v>
      </c>
      <c r="L38" s="114">
        <f t="shared" si="4"/>
        <v>0</v>
      </c>
      <c r="M38" s="100">
        <f t="shared" si="5"/>
        <v>18</v>
      </c>
      <c r="N38" s="182">
        <f t="shared" si="3"/>
        <v>6.2454437809556111</v>
      </c>
      <c r="P38" s="7" t="str">
        <f t="shared" si="6"/>
        <v/>
      </c>
      <c r="Q38" s="7" t="str">
        <f t="shared" si="9"/>
        <v>Bought 18 Shares of State 2 at a cost of 6.24544</v>
      </c>
      <c r="R38" s="185" t="str">
        <f t="shared" si="7"/>
        <v>Bought 18 Shares of State 2 at a cost of 6.24544</v>
      </c>
    </row>
    <row r="39" spans="1:34" s="7" customFormat="1" ht="18.75" x14ac:dyDescent="0.3">
      <c r="D39" s="25">
        <v>12</v>
      </c>
      <c r="E39" s="205">
        <v>61</v>
      </c>
      <c r="F39" s="292">
        <v>61</v>
      </c>
      <c r="G39" s="291">
        <f t="shared" si="0"/>
        <v>0.5</v>
      </c>
      <c r="H39" s="79">
        <f t="shared" si="1"/>
        <v>0.5</v>
      </c>
      <c r="I39" s="302">
        <f t="shared" si="2"/>
        <v>65.852030263919616</v>
      </c>
      <c r="J39" s="307">
        <f t="shared" si="8"/>
        <v>1.7180904056632045</v>
      </c>
      <c r="L39" s="114">
        <f t="shared" si="4"/>
        <v>4</v>
      </c>
      <c r="M39" s="100">
        <f t="shared" si="5"/>
        <v>0</v>
      </c>
      <c r="N39" s="182">
        <f t="shared" si="3"/>
        <v>1.7180904056632045</v>
      </c>
      <c r="P39" s="7" t="str">
        <f t="shared" si="6"/>
        <v>Bought 4 Shares of State 1 at a cost of 1.71809</v>
      </c>
      <c r="Q39" s="7" t="str">
        <f t="shared" si="9"/>
        <v/>
      </c>
      <c r="R39" s="185" t="str">
        <f t="shared" si="7"/>
        <v>Bought 4 Shares of State 1 at a cost of 1.71809</v>
      </c>
    </row>
    <row r="40" spans="1:34" s="7" customFormat="1" ht="18.75" x14ac:dyDescent="0.3">
      <c r="D40" s="25">
        <v>13</v>
      </c>
      <c r="E40" s="205">
        <v>61</v>
      </c>
      <c r="F40" s="292">
        <v>40</v>
      </c>
      <c r="G40" s="291">
        <f t="shared" si="0"/>
        <v>0.95257412682243314</v>
      </c>
      <c r="H40" s="79">
        <f t="shared" si="1"/>
        <v>4.7425873177566823E-2</v>
      </c>
      <c r="I40" s="302">
        <f t="shared" si="2"/>
        <v>61.340111461016193</v>
      </c>
      <c r="J40" s="307">
        <f t="shared" si="8"/>
        <v>-4.5119188029034234</v>
      </c>
      <c r="L40" s="114">
        <f t="shared" si="4"/>
        <v>0</v>
      </c>
      <c r="M40" s="100">
        <f t="shared" si="5"/>
        <v>-21</v>
      </c>
      <c r="N40" s="182">
        <f t="shared" si="3"/>
        <v>-4.5119188029034234</v>
      </c>
      <c r="P40" s="7" t="str">
        <f t="shared" si="6"/>
        <v/>
      </c>
      <c r="Q40" s="7" t="str">
        <f t="shared" si="9"/>
        <v>Sold 21 Shares of State 2 at a cost of -4.51192</v>
      </c>
      <c r="R40" s="185" t="str">
        <f t="shared" si="7"/>
        <v>Sold 21 Shares of State 2 at a cost of -4.51192</v>
      </c>
    </row>
    <row r="41" spans="1:34" s="7" customFormat="1" ht="18.75" x14ac:dyDescent="0.3">
      <c r="D41" s="25">
        <v>14</v>
      </c>
      <c r="E41" s="205">
        <v>42</v>
      </c>
      <c r="F41" s="292">
        <v>40</v>
      </c>
      <c r="G41" s="291">
        <f t="shared" si="0"/>
        <v>0.57094659688346627</v>
      </c>
      <c r="H41" s="79">
        <f t="shared" si="1"/>
        <v>0.42905340311653378</v>
      </c>
      <c r="I41" s="302">
        <f t="shared" si="2"/>
        <v>45.923217195086359</v>
      </c>
      <c r="J41" s="307">
        <f>(I41-I40)</f>
        <v>-15.416894265929834</v>
      </c>
      <c r="L41" s="114">
        <f t="shared" si="4"/>
        <v>-19</v>
      </c>
      <c r="M41" s="100">
        <f t="shared" si="5"/>
        <v>0</v>
      </c>
      <c r="N41" s="182">
        <f t="shared" si="3"/>
        <v>-15.416894265929834</v>
      </c>
      <c r="P41" s="7" t="str">
        <f t="shared" si="6"/>
        <v>Sold 19 Shares of State 1 at a cost of -15.41689</v>
      </c>
      <c r="Q41" s="7" t="str">
        <f t="shared" si="9"/>
        <v/>
      </c>
      <c r="R41" s="185" t="str">
        <f t="shared" si="7"/>
        <v>Sold 19 Shares of State 1 at a cost of -15.41689</v>
      </c>
    </row>
    <row r="42" spans="1:34" s="7" customFormat="1" ht="18.75" x14ac:dyDescent="0.3">
      <c r="D42" s="25">
        <v>15</v>
      </c>
      <c r="E42" s="205">
        <v>42</v>
      </c>
      <c r="F42" s="292">
        <v>9</v>
      </c>
      <c r="G42" s="291">
        <f t="shared" si="0"/>
        <v>0.99111341128091202</v>
      </c>
      <c r="H42" s="79">
        <f t="shared" si="1"/>
        <v>8.8865887190879463E-3</v>
      </c>
      <c r="I42" s="302">
        <f t="shared" si="2"/>
        <v>42.062484169635077</v>
      </c>
      <c r="J42" s="307">
        <f>(I42-I41)</f>
        <v>-3.8607330254512817</v>
      </c>
      <c r="L42" s="114">
        <f t="shared" si="4"/>
        <v>0</v>
      </c>
      <c r="M42" s="100">
        <f t="shared" si="5"/>
        <v>-31</v>
      </c>
      <c r="N42" s="182">
        <f t="shared" si="3"/>
        <v>-3.8607330254512817</v>
      </c>
      <c r="P42" s="7" t="str">
        <f t="shared" si="6"/>
        <v/>
      </c>
      <c r="Q42" s="7" t="str">
        <f t="shared" si="9"/>
        <v>Sold 31 Shares of State 2 at a cost of -3.86073</v>
      </c>
      <c r="R42" s="185" t="str">
        <f t="shared" si="7"/>
        <v>Sold 31 Shares of State 2 at a cost of -3.86073</v>
      </c>
    </row>
    <row r="43" spans="1:34" s="7" customFormat="1" ht="19.5" thickBot="1" x14ac:dyDescent="0.35">
      <c r="A43" s="8"/>
      <c r="B43" s="7" t="s">
        <v>709</v>
      </c>
      <c r="D43" s="25">
        <v>16</v>
      </c>
      <c r="E43" s="205">
        <v>42</v>
      </c>
      <c r="F43" s="292">
        <v>4</v>
      </c>
      <c r="G43" s="291">
        <f t="shared" si="0"/>
        <v>0.99562982045655568</v>
      </c>
      <c r="H43" s="80">
        <f t="shared" si="1"/>
        <v>4.3701795434443556E-3</v>
      </c>
      <c r="I43" s="303">
        <f t="shared" si="2"/>
        <v>42.030658296835739</v>
      </c>
      <c r="J43" s="308">
        <f>(I43-I42)</f>
        <v>-3.1825872799338129E-2</v>
      </c>
      <c r="L43" s="119">
        <f t="shared" si="4"/>
        <v>0</v>
      </c>
      <c r="M43" s="102">
        <f t="shared" si="5"/>
        <v>-5</v>
      </c>
      <c r="N43" s="182">
        <f t="shared" si="3"/>
        <v>-3.1825872799338129E-2</v>
      </c>
      <c r="P43" s="7" t="str">
        <f t="shared" si="6"/>
        <v/>
      </c>
      <c r="Q43" s="7" t="str">
        <f t="shared" si="9"/>
        <v>Sold 5 Shares of State 2 at a cost of -0.03183</v>
      </c>
      <c r="R43" s="185" t="str">
        <f t="shared" si="7"/>
        <v>Sold 5 Shares of State 2 at a cost of -0.03183</v>
      </c>
    </row>
    <row r="44" spans="1:34" s="7" customFormat="1" ht="20.25" thickTop="1" thickBot="1" x14ac:dyDescent="0.35">
      <c r="A44" s="618"/>
      <c r="B44" s="1196" t="s">
        <v>708</v>
      </c>
      <c r="D44" s="25" t="s">
        <v>97</v>
      </c>
      <c r="E44" s="51">
        <v>42</v>
      </c>
      <c r="F44" s="295">
        <v>4</v>
      </c>
      <c r="G44" s="553">
        <v>1</v>
      </c>
      <c r="H44" s="554">
        <v>0</v>
      </c>
      <c r="I44" s="304">
        <f t="shared" si="2"/>
        <v>42.030658296835739</v>
      </c>
      <c r="J44" s="1191"/>
      <c r="K44" s="1190"/>
      <c r="Q44" s="8"/>
      <c r="R44" s="243" t="s">
        <v>144</v>
      </c>
      <c r="S44" s="8"/>
    </row>
    <row r="45" spans="1:34" s="7" customFormat="1" ht="18.75" x14ac:dyDescent="0.3">
      <c r="A45" s="8"/>
      <c r="B45" s="7" t="s">
        <v>710</v>
      </c>
      <c r="D45"/>
      <c r="E45" s="1194">
        <v>42</v>
      </c>
      <c r="F45" s="1195">
        <v>4</v>
      </c>
      <c r="G45" s="17"/>
      <c r="H45" s="33"/>
      <c r="I45" s="305">
        <f>SUMPRODUCT(G44:H44,E44:F44)</f>
        <v>42</v>
      </c>
      <c r="J45" s="1192" t="s">
        <v>109</v>
      </c>
      <c r="K45" s="1190"/>
      <c r="Q45"/>
      <c r="R45" s="185" t="str">
        <f>"Individuals redeem "&amp;E44&amp;" a=0 shares for $1 each."</f>
        <v>Individuals redeem 42 a=0 shares for $1 each.</v>
      </c>
      <c r="S45"/>
    </row>
    <row r="46" spans="1:34" s="7" customFormat="1" ht="18.75" x14ac:dyDescent="0.3">
      <c r="E46" s="140">
        <v>0</v>
      </c>
      <c r="F46" s="594">
        <v>4</v>
      </c>
      <c r="G46" s="17"/>
      <c r="H46" s="17"/>
      <c r="I46" s="305">
        <f>I44-I45</f>
        <v>3.0658296835738952E-2</v>
      </c>
      <c r="J46" s="1192" t="s">
        <v>788</v>
      </c>
      <c r="K46" s="1190"/>
      <c r="R46" s="185" t="str">
        <f>ROUND(I46,4)&amp;" happens to be left over. The creator of the market can reclaim it."</f>
        <v>0.0307 happens to be left over. The creator of the market can reclaim it.</v>
      </c>
    </row>
    <row r="47" spans="1:34" s="7" customFormat="1" ht="18.75" x14ac:dyDescent="0.3">
      <c r="B47" s="7" t="s">
        <v>711</v>
      </c>
      <c r="E47" s="17"/>
      <c r="F47" s="239"/>
      <c r="G47" s="17"/>
      <c r="H47" s="17"/>
      <c r="I47" s="194"/>
      <c r="J47" s="1193"/>
      <c r="K47" s="1190"/>
      <c r="O47" s="8"/>
      <c r="P47" s="8"/>
      <c r="Q47" s="8"/>
      <c r="R47" s="243"/>
      <c r="S47" s="28"/>
    </row>
    <row r="48" spans="1:34" x14ac:dyDescent="0.25">
      <c r="B48" s="7"/>
      <c r="C48" s="7"/>
      <c r="E48" s="17"/>
      <c r="F48" s="239"/>
      <c r="J48" s="1561" t="s">
        <v>707</v>
      </c>
      <c r="AF48" s="7"/>
      <c r="AG48" s="7"/>
      <c r="AH48" s="7"/>
    </row>
    <row r="49" spans="3:33" x14ac:dyDescent="0.25">
      <c r="G49" s="290"/>
      <c r="H49" s="17"/>
      <c r="I49" s="17"/>
      <c r="J49" s="1562"/>
      <c r="K49" s="7"/>
      <c r="L49" s="7"/>
      <c r="M49" s="7"/>
      <c r="N49" s="7"/>
      <c r="O49" s="7"/>
      <c r="P49" s="7"/>
      <c r="Q49" s="7"/>
      <c r="R49" s="7"/>
      <c r="S49" s="7"/>
      <c r="T49" s="7"/>
      <c r="U49" s="7"/>
      <c r="V49" s="7"/>
      <c r="W49" s="7"/>
      <c r="X49" s="7"/>
      <c r="Y49" s="7"/>
      <c r="Z49" s="7"/>
      <c r="AA49" s="7"/>
      <c r="AB49" s="7"/>
      <c r="AC49" s="7"/>
      <c r="AD49" s="7"/>
      <c r="AE49" s="7"/>
      <c r="AF49" s="7"/>
      <c r="AG49" s="7"/>
    </row>
    <row r="50" spans="3:33" ht="15.75" customHeight="1" x14ac:dyDescent="0.25">
      <c r="D50" s="7"/>
      <c r="F50" s="17"/>
      <c r="G50" s="17"/>
      <c r="I50" s="17"/>
      <c r="J50" s="1562"/>
      <c r="K50" s="7"/>
      <c r="L50" s="7"/>
      <c r="M50" s="7"/>
      <c r="N50" s="7"/>
      <c r="O50" s="7"/>
      <c r="P50" s="7"/>
      <c r="Q50" s="7"/>
      <c r="R50" s="7"/>
      <c r="S50" s="7"/>
      <c r="T50" s="7"/>
      <c r="U50" s="7"/>
      <c r="V50" s="7"/>
      <c r="W50" s="7"/>
      <c r="X50" s="7"/>
      <c r="Y50" s="7"/>
      <c r="Z50" s="7"/>
      <c r="AA50" s="7"/>
      <c r="AB50" s="7"/>
      <c r="AC50" s="7"/>
      <c r="AD50" s="7"/>
      <c r="AE50" s="7"/>
      <c r="AF50" s="7"/>
      <c r="AG50" s="7"/>
    </row>
    <row r="51" spans="3:33" x14ac:dyDescent="0.25">
      <c r="C51" s="7"/>
      <c r="D51" s="7"/>
      <c r="F51" s="17"/>
      <c r="G51" s="17"/>
      <c r="H51" s="17"/>
      <c r="I51" s="17"/>
      <c r="J51" s="1562"/>
      <c r="K51" s="7"/>
      <c r="L51" s="7"/>
      <c r="M51" s="7"/>
      <c r="N51" s="7"/>
      <c r="O51" s="7"/>
      <c r="P51" s="7"/>
      <c r="Q51" s="7"/>
      <c r="R51" s="7"/>
      <c r="S51" s="7"/>
      <c r="T51" s="7"/>
      <c r="U51" s="7"/>
      <c r="V51" s="7"/>
      <c r="W51" s="7"/>
      <c r="X51" s="7"/>
      <c r="Y51" s="7"/>
      <c r="Z51" s="7"/>
      <c r="AA51" s="7"/>
      <c r="AB51" s="7"/>
      <c r="AC51" s="7"/>
      <c r="AD51" s="7"/>
      <c r="AE51" s="7"/>
      <c r="AF51" s="7"/>
      <c r="AG51" s="7"/>
    </row>
    <row r="52" spans="3:33" x14ac:dyDescent="0.25">
      <c r="D52" s="7"/>
      <c r="F52" s="7"/>
      <c r="G52" s="17"/>
      <c r="H52" s="17"/>
      <c r="I52" s="17"/>
      <c r="J52" s="1562"/>
    </row>
    <row r="53" spans="3:33" ht="15" customHeight="1" x14ac:dyDescent="0.25">
      <c r="D53" s="7"/>
      <c r="F53" s="17"/>
      <c r="G53" s="17"/>
      <c r="H53" s="17"/>
      <c r="I53" s="17"/>
      <c r="J53" s="1562"/>
    </row>
    <row r="54" spans="3:33" x14ac:dyDescent="0.25">
      <c r="D54" s="7"/>
      <c r="F54" s="17"/>
      <c r="G54" s="17"/>
      <c r="H54" s="17"/>
      <c r="I54" s="17"/>
      <c r="J54" s="1562"/>
    </row>
    <row r="55" spans="3:33" x14ac:dyDescent="0.25">
      <c r="D55" s="7"/>
      <c r="F55" s="17"/>
      <c r="G55" s="17"/>
      <c r="H55" s="17"/>
      <c r="I55" s="17"/>
      <c r="J55" s="1562"/>
    </row>
    <row r="56" spans="3:33" x14ac:dyDescent="0.25">
      <c r="D56" s="7"/>
      <c r="F56" s="17"/>
      <c r="G56" s="17"/>
      <c r="H56" s="17"/>
      <c r="I56" s="17"/>
      <c r="J56" s="1562"/>
    </row>
    <row r="57" spans="3:33" x14ac:dyDescent="0.25">
      <c r="D57" s="7"/>
      <c r="E57" s="31"/>
      <c r="F57" s="17"/>
      <c r="G57" s="17"/>
      <c r="H57" s="17"/>
      <c r="I57" s="17"/>
      <c r="J57" s="1562"/>
    </row>
    <row r="58" spans="3:33" x14ac:dyDescent="0.25">
      <c r="D58" s="7"/>
      <c r="E58" s="31"/>
      <c r="F58" s="17"/>
      <c r="G58" s="17"/>
      <c r="H58" s="17"/>
      <c r="I58" s="17"/>
      <c r="J58" s="1562"/>
    </row>
    <row r="59" spans="3:33" x14ac:dyDescent="0.25">
      <c r="F59" s="17"/>
      <c r="G59" s="17"/>
      <c r="J59" s="1562"/>
    </row>
    <row r="60" spans="3:33" x14ac:dyDescent="0.25">
      <c r="F60" s="17"/>
      <c r="G60" s="17"/>
      <c r="J60" s="1562"/>
    </row>
    <row r="61" spans="3:33" x14ac:dyDescent="0.25">
      <c r="F61" s="17"/>
      <c r="G61" s="17"/>
      <c r="J61" s="1562"/>
    </row>
    <row r="62" spans="3:33" x14ac:dyDescent="0.25">
      <c r="F62" s="17"/>
      <c r="G62" s="17"/>
      <c r="J62" s="1562"/>
    </row>
    <row r="63" spans="3:33" x14ac:dyDescent="0.25">
      <c r="J63" s="1562"/>
    </row>
    <row r="64" spans="3:33" x14ac:dyDescent="0.25">
      <c r="J64" s="1562"/>
    </row>
    <row r="65" spans="10:10" x14ac:dyDescent="0.25">
      <c r="J65" s="1562"/>
    </row>
    <row r="66" spans="10:10" x14ac:dyDescent="0.25">
      <c r="J66" s="1563"/>
    </row>
  </sheetData>
  <mergeCells count="6">
    <mergeCell ref="J48:J66"/>
    <mergeCell ref="B7:B9"/>
    <mergeCell ref="B15:B18"/>
    <mergeCell ref="L26:M26"/>
    <mergeCell ref="E21:F24"/>
    <mergeCell ref="G21:J2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B2:AP74"/>
  <sheetViews>
    <sheetView topLeftCell="H10" zoomScale="85" zoomScaleNormal="85" workbookViewId="0">
      <selection activeCell="AC37" sqref="AC37"/>
    </sheetView>
  </sheetViews>
  <sheetFormatPr defaultRowHeight="15" x14ac:dyDescent="0.25"/>
  <cols>
    <col min="2" max="2" width="28.140625" bestFit="1" customWidth="1"/>
    <col min="3" max="3" width="13.28515625" customWidth="1"/>
    <col min="4" max="4" width="12.140625" customWidth="1"/>
    <col min="5" max="16" width="11.42578125" style="33" customWidth="1"/>
    <col min="17" max="18" width="12" style="33" customWidth="1"/>
    <col min="19" max="19" width="0" hidden="1" customWidth="1"/>
    <col min="20" max="20" width="9.42578125" hidden="1" customWidth="1"/>
    <col min="21" max="21" width="12.7109375" hidden="1" customWidth="1"/>
    <col min="22" max="22" width="10.28515625" hidden="1" customWidth="1"/>
    <col min="23" max="23" width="10.7109375" hidden="1" customWidth="1"/>
    <col min="24" max="24" width="0" hidden="1" customWidth="1"/>
    <col min="25" max="25" width="9.42578125" hidden="1" customWidth="1"/>
    <col min="26" max="26" width="10.85546875" customWidth="1"/>
    <col min="27" max="27" width="12.28515625" customWidth="1"/>
    <col min="28" max="28" width="9.85546875" customWidth="1"/>
    <col min="29" max="29" width="10.85546875" customWidth="1"/>
    <col min="30" max="30" width="10.42578125" customWidth="1"/>
    <col min="31" max="31" width="10.5703125" customWidth="1"/>
    <col min="32" max="35" width="12.140625" customWidth="1"/>
    <col min="36" max="36" width="5" customWidth="1"/>
    <col min="37" max="40" width="11.85546875" customWidth="1"/>
  </cols>
  <sheetData>
    <row r="2" spans="2:34" ht="31.5" x14ac:dyDescent="0.5">
      <c r="B2" s="186" t="s">
        <v>481</v>
      </c>
      <c r="D2" s="139"/>
    </row>
    <row r="3" spans="2:34" ht="31.5" x14ac:dyDescent="0.5">
      <c r="B3" s="186"/>
      <c r="D3" s="139"/>
      <c r="K3" s="17"/>
      <c r="L3" s="17"/>
    </row>
    <row r="4" spans="2:34" ht="29.25" customHeight="1" x14ac:dyDescent="0.25">
      <c r="C4" s="1564" t="s">
        <v>159</v>
      </c>
      <c r="D4" s="150" t="s">
        <v>101</v>
      </c>
      <c r="E4" s="1679" t="s">
        <v>457</v>
      </c>
      <c r="F4" s="1679"/>
      <c r="G4" s="1679"/>
      <c r="H4" s="1679"/>
      <c r="I4" s="1679"/>
      <c r="J4" s="1680"/>
      <c r="K4" s="17"/>
      <c r="L4" s="17"/>
    </row>
    <row r="5" spans="2:34" x14ac:dyDescent="0.25">
      <c r="C5" s="1565"/>
      <c r="D5" s="17" t="s">
        <v>145</v>
      </c>
      <c r="E5" s="935">
        <v>0</v>
      </c>
      <c r="F5" s="7" t="s">
        <v>146</v>
      </c>
      <c r="G5" s="17"/>
      <c r="H5" s="17" t="s">
        <v>458</v>
      </c>
      <c r="I5" s="17"/>
      <c r="J5" s="239"/>
      <c r="K5" s="17"/>
      <c r="L5" s="17"/>
    </row>
    <row r="6" spans="2:34" x14ac:dyDescent="0.25">
      <c r="C6" s="1565"/>
      <c r="D6" s="17" t="s">
        <v>148</v>
      </c>
      <c r="E6" s="935">
        <v>50000</v>
      </c>
      <c r="F6" s="7" t="s">
        <v>147</v>
      </c>
      <c r="G6" s="17"/>
      <c r="H6" s="17" t="s">
        <v>459</v>
      </c>
      <c r="I6" s="17"/>
      <c r="J6" s="239"/>
      <c r="K6" s="17"/>
      <c r="L6" s="17"/>
    </row>
    <row r="7" spans="2:34" x14ac:dyDescent="0.25">
      <c r="C7" s="1566"/>
      <c r="D7" s="265" t="s">
        <v>149</v>
      </c>
      <c r="E7" s="127">
        <f>E6-E5</f>
        <v>50000</v>
      </c>
      <c r="F7" s="245" t="s">
        <v>150</v>
      </c>
      <c r="G7" s="257"/>
      <c r="H7" s="257"/>
      <c r="I7" s="257"/>
      <c r="J7" s="260"/>
      <c r="K7" s="17"/>
      <c r="L7" s="17"/>
    </row>
    <row r="8" spans="2:34" s="33" customFormat="1" x14ac:dyDescent="0.25">
      <c r="B8"/>
      <c r="C8" s="256"/>
      <c r="D8" s="140"/>
      <c r="E8" s="190"/>
      <c r="F8" s="8"/>
      <c r="G8" s="17"/>
      <c r="H8" s="17"/>
      <c r="I8" s="17"/>
      <c r="J8" s="17"/>
      <c r="K8" s="17"/>
      <c r="L8" s="17"/>
      <c r="S8"/>
      <c r="T8"/>
      <c r="U8"/>
      <c r="V8"/>
      <c r="W8"/>
      <c r="X8"/>
      <c r="Y8"/>
      <c r="Z8"/>
      <c r="AA8"/>
      <c r="AB8"/>
      <c r="AC8"/>
      <c r="AD8"/>
      <c r="AE8"/>
      <c r="AF8"/>
      <c r="AG8"/>
      <c r="AH8"/>
    </row>
    <row r="9" spans="2:34" s="33" customFormat="1" ht="30" customHeight="1" x14ac:dyDescent="0.25">
      <c r="B9"/>
      <c r="C9" s="1564" t="s">
        <v>163</v>
      </c>
      <c r="D9" s="1" t="s">
        <v>4</v>
      </c>
      <c r="E9" s="1679" t="s">
        <v>456</v>
      </c>
      <c r="F9" s="1679"/>
      <c r="G9" s="1679"/>
      <c r="H9" s="1679"/>
      <c r="I9" s="1679"/>
      <c r="J9" s="1680"/>
      <c r="K9" s="17"/>
      <c r="L9" s="17"/>
      <c r="S9"/>
      <c r="T9"/>
      <c r="U9"/>
      <c r="V9"/>
      <c r="W9"/>
      <c r="X9"/>
      <c r="Y9"/>
      <c r="Z9"/>
      <c r="AA9"/>
      <c r="AB9"/>
      <c r="AC9"/>
      <c r="AD9"/>
      <c r="AE9"/>
      <c r="AF9"/>
      <c r="AG9"/>
      <c r="AH9"/>
    </row>
    <row r="10" spans="2:34" s="33" customFormat="1" x14ac:dyDescent="0.25">
      <c r="B10"/>
      <c r="C10" s="1565"/>
      <c r="D10" s="290" t="s">
        <v>130</v>
      </c>
      <c r="E10" s="17" t="s">
        <v>3</v>
      </c>
      <c r="F10" s="7"/>
      <c r="G10" s="17"/>
      <c r="H10" s="189"/>
      <c r="I10" s="17"/>
      <c r="J10" s="239"/>
      <c r="K10" s="17"/>
      <c r="L10" s="17"/>
      <c r="S10"/>
      <c r="T10"/>
      <c r="U10"/>
      <c r="V10"/>
      <c r="W10"/>
      <c r="X10"/>
      <c r="Y10"/>
      <c r="Z10"/>
      <c r="AA10"/>
      <c r="AB10"/>
      <c r="AC10"/>
      <c r="AD10"/>
      <c r="AE10"/>
      <c r="AF10"/>
      <c r="AG10"/>
      <c r="AH10"/>
    </row>
    <row r="11" spans="2:34" s="33" customFormat="1" x14ac:dyDescent="0.25">
      <c r="B11"/>
      <c r="C11" s="1566"/>
      <c r="D11" s="288" t="s">
        <v>131</v>
      </c>
      <c r="E11" s="257" t="s">
        <v>2</v>
      </c>
      <c r="F11" s="245"/>
      <c r="G11" s="257"/>
      <c r="H11" s="272"/>
      <c r="I11" s="257"/>
      <c r="J11" s="260"/>
      <c r="K11" s="17"/>
      <c r="L11" s="17"/>
      <c r="S11"/>
      <c r="T11"/>
      <c r="U11"/>
      <c r="V11"/>
      <c r="W11"/>
      <c r="X11"/>
      <c r="Y11"/>
      <c r="Z11"/>
      <c r="AA11"/>
      <c r="AB11"/>
      <c r="AC11"/>
      <c r="AD11"/>
      <c r="AE11"/>
      <c r="AF11"/>
      <c r="AG11"/>
      <c r="AH11"/>
    </row>
    <row r="12" spans="2:34" s="33" customFormat="1" ht="15.75" thickBot="1" x14ac:dyDescent="0.3">
      <c r="B12"/>
      <c r="C12" s="256"/>
      <c r="D12" s="140"/>
      <c r="E12" s="190"/>
      <c r="F12" s="8"/>
      <c r="G12" s="17"/>
      <c r="H12" s="17"/>
      <c r="I12" s="17"/>
      <c r="J12" s="17"/>
      <c r="K12" s="17"/>
      <c r="L12" s="17"/>
      <c r="S12"/>
      <c r="T12"/>
      <c r="U12"/>
      <c r="V12"/>
      <c r="W12"/>
      <c r="X12"/>
      <c r="Y12"/>
      <c r="Z12"/>
      <c r="AA12"/>
      <c r="AB12"/>
      <c r="AC12"/>
      <c r="AD12"/>
      <c r="AE12"/>
      <c r="AF12"/>
      <c r="AG12"/>
      <c r="AH12"/>
    </row>
    <row r="13" spans="2:34" s="33" customFormat="1" x14ac:dyDescent="0.25">
      <c r="B13"/>
      <c r="C13" s="1567" t="s">
        <v>148</v>
      </c>
      <c r="D13" s="273" t="s">
        <v>160</v>
      </c>
      <c r="E13" s="274" t="s">
        <v>164</v>
      </c>
      <c r="F13" s="251" t="s">
        <v>162</v>
      </c>
      <c r="G13" s="251"/>
      <c r="H13" s="251"/>
      <c r="I13" s="249"/>
      <c r="S13"/>
      <c r="T13"/>
      <c r="U13"/>
      <c r="V13"/>
      <c r="W13"/>
      <c r="X13"/>
      <c r="Y13"/>
      <c r="Z13"/>
      <c r="AA13"/>
      <c r="AB13"/>
      <c r="AC13"/>
      <c r="AD13"/>
      <c r="AE13"/>
      <c r="AF13"/>
      <c r="AG13"/>
      <c r="AH13"/>
    </row>
    <row r="14" spans="2:34" x14ac:dyDescent="0.25">
      <c r="C14" s="1568"/>
      <c r="D14" s="17" t="s">
        <v>135</v>
      </c>
      <c r="E14" s="254">
        <v>4</v>
      </c>
      <c r="F14" s="17" t="s">
        <v>136</v>
      </c>
      <c r="G14" s="17"/>
      <c r="H14" s="17"/>
      <c r="I14" s="195"/>
    </row>
    <row r="15" spans="2:34" x14ac:dyDescent="0.25">
      <c r="C15" s="1568"/>
      <c r="D15" s="17" t="s">
        <v>5</v>
      </c>
      <c r="E15" s="935">
        <v>4</v>
      </c>
      <c r="F15" s="17" t="s">
        <v>139</v>
      </c>
      <c r="G15" s="17"/>
      <c r="H15" s="17"/>
      <c r="I15" s="195"/>
    </row>
    <row r="16" spans="2:34" x14ac:dyDescent="0.25">
      <c r="C16" s="1568"/>
      <c r="D16" s="140" t="s">
        <v>151</v>
      </c>
      <c r="E16" s="935">
        <v>1</v>
      </c>
      <c r="F16" s="140" t="s">
        <v>152</v>
      </c>
      <c r="G16" s="17"/>
      <c r="H16" s="17"/>
      <c r="I16" s="195"/>
    </row>
    <row r="17" spans="2:41" ht="15.75" thickBot="1" x14ac:dyDescent="0.3">
      <c r="C17" s="1569"/>
      <c r="D17" s="166" t="s">
        <v>137</v>
      </c>
      <c r="E17" s="275">
        <f>E15*E16*LN(E14)</f>
        <v>5.5451774444795623</v>
      </c>
      <c r="F17" s="166" t="s">
        <v>138</v>
      </c>
      <c r="G17" s="252"/>
      <c r="H17" s="252"/>
      <c r="I17" s="250"/>
      <c r="M17" s="33" t="s">
        <v>480</v>
      </c>
    </row>
    <row r="18" spans="2:41" x14ac:dyDescent="0.25">
      <c r="B18" s="7"/>
    </row>
    <row r="19" spans="2:41" s="7" customFormat="1" ht="15.75" thickBot="1" x14ac:dyDescent="0.3">
      <c r="C19"/>
      <c r="D19"/>
      <c r="E19" s="33"/>
      <c r="F19" s="33"/>
      <c r="G19" s="33"/>
      <c r="H19" s="33"/>
      <c r="I19" s="33"/>
      <c r="J19" s="33"/>
      <c r="K19" s="33"/>
      <c r="L19" s="33"/>
      <c r="M19" s="33"/>
      <c r="N19" s="33"/>
      <c r="O19" s="33"/>
      <c r="P19" s="33"/>
      <c r="Q19" s="33"/>
      <c r="R19" s="33"/>
      <c r="S19"/>
      <c r="T19"/>
      <c r="U19"/>
      <c r="V19"/>
      <c r="W19"/>
      <c r="X19"/>
      <c r="Y19"/>
      <c r="Z19"/>
      <c r="AB19"/>
      <c r="AC19" s="8"/>
      <c r="AD19" s="8"/>
    </row>
    <row r="20" spans="2:41" s="7" customFormat="1" ht="21" customHeight="1" thickBot="1" x14ac:dyDescent="0.35">
      <c r="B20" s="7" t="s">
        <v>484</v>
      </c>
      <c r="D20"/>
      <c r="E20" s="61" t="s">
        <v>12</v>
      </c>
      <c r="F20" s="62"/>
      <c r="G20" s="62"/>
      <c r="H20" s="63"/>
      <c r="I20" s="62" t="s">
        <v>13</v>
      </c>
      <c r="J20" s="62"/>
      <c r="K20" s="62"/>
      <c r="L20" s="62"/>
      <c r="M20" s="1692" t="s">
        <v>466</v>
      </c>
      <c r="N20" s="1693"/>
      <c r="O20" s="946"/>
      <c r="P20" s="61" t="s">
        <v>36</v>
      </c>
      <c r="Q20" s="63" t="s">
        <v>35</v>
      </c>
      <c r="R20" s="193"/>
      <c r="S20" s="1570" t="s">
        <v>98</v>
      </c>
      <c r="T20" s="1571"/>
      <c r="U20" s="183" t="s">
        <v>99</v>
      </c>
      <c r="W20" s="7" t="s">
        <v>100</v>
      </c>
      <c r="X20" s="20"/>
      <c r="Y20" s="184" t="s">
        <v>100</v>
      </c>
      <c r="Z20" s="1694" t="s">
        <v>470</v>
      </c>
      <c r="AB20" s="20"/>
    </row>
    <row r="21" spans="2:41" s="7" customFormat="1" ht="16.5" customHeight="1" thickTop="1" thickBot="1" x14ac:dyDescent="0.3">
      <c r="B21" s="991">
        <f>(AF32-0)^2 + (AK32-AC47)^2</f>
        <v>0</v>
      </c>
      <c r="C21" s="32"/>
      <c r="D21" s="115" t="s">
        <v>45</v>
      </c>
      <c r="E21" s="172" t="str">
        <f>"i="&amp;$E$5&amp;", 0"</f>
        <v>i=0, 0</v>
      </c>
      <c r="F21" s="176" t="str">
        <f>"i="&amp;$E$5&amp;", 1"</f>
        <v>i=0, 1</v>
      </c>
      <c r="G21" s="173" t="str">
        <f>"i="&amp;$E$6&amp;", 0"</f>
        <v>i=50000, 0</v>
      </c>
      <c r="H21" s="177" t="str">
        <f>"i="&amp;$E$6&amp;", 1"</f>
        <v>i=50000, 1</v>
      </c>
      <c r="I21" s="174" t="str">
        <f>"i="&amp;$E$5&amp;", 0"</f>
        <v>i=0, 0</v>
      </c>
      <c r="J21" s="176" t="str">
        <f>"i="&amp;$E$5&amp;", 1"</f>
        <v>i=0, 1</v>
      </c>
      <c r="K21" s="173" t="str">
        <f>"i="&amp;$E$6&amp;", 0"</f>
        <v>i=50000, 0</v>
      </c>
      <c r="L21" s="236" t="str">
        <f>"i="&amp;$E$6&amp;", 1"</f>
        <v>i=50000, 1</v>
      </c>
      <c r="M21" s="943" t="s">
        <v>467</v>
      </c>
      <c r="N21" s="944" t="s">
        <v>468</v>
      </c>
      <c r="O21" s="947" t="s">
        <v>472</v>
      </c>
      <c r="P21" s="294">
        <v>0</v>
      </c>
      <c r="Q21" s="43"/>
      <c r="R21" s="140"/>
      <c r="S21" s="180" t="str">
        <f>E21</f>
        <v>i=0, 0</v>
      </c>
      <c r="T21" s="181" t="str">
        <f>H21</f>
        <v>i=50000, 1</v>
      </c>
      <c r="Y21"/>
      <c r="Z21" s="1695"/>
      <c r="AA21" s="977" t="s">
        <v>473</v>
      </c>
      <c r="AF21" s="1643" t="s">
        <v>460</v>
      </c>
      <c r="AG21" s="1644"/>
      <c r="AH21" s="1644"/>
      <c r="AI21" s="1644"/>
      <c r="AJ21" s="1644"/>
      <c r="AK21" s="1644"/>
      <c r="AL21" s="1644"/>
      <c r="AM21" s="1644"/>
      <c r="AN21" s="1645"/>
    </row>
    <row r="22" spans="2:41" s="7" customFormat="1" ht="18" customHeight="1" thickTop="1" thickBot="1" x14ac:dyDescent="0.3">
      <c r="D22" s="25">
        <v>1</v>
      </c>
      <c r="E22" s="215">
        <v>0</v>
      </c>
      <c r="F22" s="214">
        <v>0</v>
      </c>
      <c r="G22" s="213">
        <v>0</v>
      </c>
      <c r="H22" s="212">
        <v>0</v>
      </c>
      <c r="I22" s="211">
        <f t="shared" ref="I22:L46" si="0">EXP(E22/$E$15)/(EXP($E22/$E$15)+EXP($F22/$E$15)+EXP($G22/$E$15)+EXP($H22/$E$15))</f>
        <v>0.25</v>
      </c>
      <c r="J22" s="210">
        <f t="shared" si="0"/>
        <v>0.25</v>
      </c>
      <c r="K22" s="209">
        <f t="shared" si="0"/>
        <v>0.25</v>
      </c>
      <c r="L22" s="208">
        <f t="shared" si="0"/>
        <v>0.25</v>
      </c>
      <c r="M22" s="952">
        <f>IF( ROUND(K22,3) = 0, 0, (   K22/SUM(K22,I22) * $E$6 )   )</f>
        <v>25000</v>
      </c>
      <c r="N22" s="953">
        <f t="shared" ref="N22:N47" si="1">IF( ROUND(L22,3) = 0, 0, (   L22/SUM(L22,J22) * $E$6 )   )</f>
        <v>25000</v>
      </c>
      <c r="O22" s="948">
        <f>SUM(J22,L22)</f>
        <v>0.5</v>
      </c>
      <c r="P22" s="336">
        <f>$E$15*$E$16*LN(EXP($E22/$E$15) + EXP($F22/$E$15) + EXP($G22/$E$15) +EXP($H22/$E$15) )</f>
        <v>5.5451774444795623</v>
      </c>
      <c r="Q22" s="46">
        <f>(P22-P21)</f>
        <v>5.5451774444795623</v>
      </c>
      <c r="R22" s="974"/>
      <c r="S22" s="114"/>
      <c r="T22" s="100"/>
      <c r="Y22"/>
      <c r="Z22" s="960">
        <f t="shared" ref="Z22:Z47" si="2">(1-O22)*M22 + O22*N22</f>
        <v>25000</v>
      </c>
      <c r="AA22" s="975">
        <f>Z22/$E$6</f>
        <v>0.5</v>
      </c>
      <c r="AB22" s="1678" t="s">
        <v>461</v>
      </c>
      <c r="AC22" s="1680"/>
    </row>
    <row r="23" spans="2:41" s="7" customFormat="1" ht="16.5" customHeight="1" thickBot="1" x14ac:dyDescent="0.35">
      <c r="B23" s="7" t="s">
        <v>482</v>
      </c>
      <c r="C23" s="7" t="s">
        <v>483</v>
      </c>
      <c r="D23" s="25">
        <v>2</v>
      </c>
      <c r="E23" s="233">
        <v>0.9</v>
      </c>
      <c r="F23" s="232">
        <v>5</v>
      </c>
      <c r="G23" s="231">
        <v>1.8</v>
      </c>
      <c r="H23" s="230">
        <v>5.9</v>
      </c>
      <c r="I23" s="229">
        <f t="shared" si="0"/>
        <v>0.11723657723405832</v>
      </c>
      <c r="J23" s="228">
        <f t="shared" si="0"/>
        <v>0.32674953222132169</v>
      </c>
      <c r="K23" s="227">
        <f t="shared" si="0"/>
        <v>0.14681802883879322</v>
      </c>
      <c r="L23" s="226">
        <f t="shared" si="0"/>
        <v>0.40919586170582672</v>
      </c>
      <c r="M23" s="954">
        <f>IF( ROUND(K23,3) = 0, 0, (   K23/SUM(K23,I23) * $E$6 )   )</f>
        <v>27800.694527231</v>
      </c>
      <c r="N23" s="955">
        <f>IF( ROUND(L23,3) = 0, 0, (   L23/SUM(L23,J23) * $E$6 )   )</f>
        <v>27800.694527230997</v>
      </c>
      <c r="O23" s="949">
        <f>SUM(J23,L23)</f>
        <v>0.73594539392714842</v>
      </c>
      <c r="P23" s="337">
        <f>$E$15*LN(EXP($E23/$E$15) + EXP($F23/$E$15) + EXP($G23/$E$15) +EXP($H23/$E$15) )</f>
        <v>9.4742454323566783</v>
      </c>
      <c r="Q23" s="49">
        <f>(P23-P22)</f>
        <v>3.929067987877116</v>
      </c>
      <c r="R23" s="974"/>
      <c r="S23" s="114">
        <f>E23-E22</f>
        <v>0.9</v>
      </c>
      <c r="T23" s="100">
        <f>H23-H22</f>
        <v>5.9</v>
      </c>
      <c r="U23" s="182">
        <f t="shared" ref="U23:U46" si="3">Q23</f>
        <v>3.929067987877116</v>
      </c>
      <c r="W23" s="7" t="str">
        <f t="shared" ref="W23:W46" si="4">IF(S23&gt;0,"Bought ",IF(S23&lt;0,"Sold ",""))&amp;IF(S23&lt;0,S23*-1,IF(S23&gt;0,S23,""))&amp;IF(S23&lt;&gt;0," Shares of State 1 at a cost of "&amp;ROUND($U23,5),"")</f>
        <v>Bought 0.9 Shares of State 1 at a cost of 3.92907</v>
      </c>
      <c r="X23" s="7" t="str">
        <f t="shared" ref="X23:X46" si="5">IF(T23&gt;0,"Bought ",IF(T23&lt;0,"Sold ",""))&amp;IF(T23&lt;0,T23*-1,IF(T23&gt;0,T23,""))&amp;IF(T23&lt;&gt;0," Shares of State 2 at a cost of "&amp;ROUND($U23,5),"")</f>
        <v>Bought 5.9 Shares of State 2 at a cost of 3.92907</v>
      </c>
      <c r="Y23" s="185" t="str">
        <f t="shared" ref="Y23:Y46" si="6">W23&amp;X23</f>
        <v>Bought 0.9 Shares of State 1 at a cost of 3.92907Bought 5.9 Shares of State 2 at a cost of 3.92907</v>
      </c>
      <c r="Z23" s="984">
        <f t="shared" si="2"/>
        <v>27800.694527230997</v>
      </c>
      <c r="AA23" s="975">
        <f t="shared" ref="AA23:AA47" si="7">Z23/$E$6</f>
        <v>0.55601389054461992</v>
      </c>
      <c r="AB23" s="1696"/>
      <c r="AC23" s="1697"/>
      <c r="AF23" s="1698" t="s">
        <v>462</v>
      </c>
      <c r="AG23" s="1698"/>
      <c r="AH23" s="1698"/>
      <c r="AI23" s="1698"/>
      <c r="AK23" s="1698" t="s">
        <v>463</v>
      </c>
      <c r="AL23" s="1698"/>
      <c r="AM23" s="1698"/>
      <c r="AN23" s="1698"/>
    </row>
    <row r="24" spans="2:41" s="7" customFormat="1" ht="19.5" thickBot="1" x14ac:dyDescent="0.35">
      <c r="B24" s="968">
        <v>1</v>
      </c>
      <c r="C24" s="969">
        <f>(I23+K23)/K23</f>
        <v>1.7985162187593768</v>
      </c>
      <c r="D24" s="961">
        <v>3</v>
      </c>
      <c r="E24" s="962">
        <f>E23+$B$24</f>
        <v>1.9</v>
      </c>
      <c r="F24" s="963">
        <f>F23</f>
        <v>5</v>
      </c>
      <c r="G24" s="964">
        <f>G23+$B$24</f>
        <v>2.8</v>
      </c>
      <c r="H24" s="965">
        <f>H23+$C$24</f>
        <v>7.6985162187593774</v>
      </c>
      <c r="I24" s="229">
        <f>EXP(E24/$E$15)/(EXP($E24/$E$15)+EXP($F24/$E$15)+EXP($G24/$E$15)+EXP($H24/$E$15))</f>
        <v>0.11514836279408856</v>
      </c>
      <c r="J24" s="228">
        <f t="shared" si="0"/>
        <v>0.24994012973891144</v>
      </c>
      <c r="K24" s="227">
        <f t="shared" si="0"/>
        <v>0.1442029104593392</v>
      </c>
      <c r="L24" s="226">
        <f t="shared" si="0"/>
        <v>0.49070859700766073</v>
      </c>
      <c r="M24" s="954">
        <f t="shared" ref="M24:M47" si="8">IF( ROUND(K24,3) = 0, 0, (   K24/SUM(K24,I24) * $E$6 )   )</f>
        <v>27800.694527230997</v>
      </c>
      <c r="N24" s="955">
        <f t="shared" si="1"/>
        <v>33126.945290460644</v>
      </c>
      <c r="O24" s="949">
        <f t="shared" ref="O24:O47" si="9">SUM(J24,L24)</f>
        <v>0.74064872674657223</v>
      </c>
      <c r="P24" s="337">
        <f t="shared" ref="P24:P47" si="10">$E$15*LN(EXP($E24/$E$15) + EXP($F24/$E$15) + EXP($G24/$E$15) +EXP($H24/$E$15) )</f>
        <v>10.546135483377636</v>
      </c>
      <c r="Q24" s="970">
        <f>(P24-P23)</f>
        <v>1.0718900510209579</v>
      </c>
      <c r="R24" s="978"/>
      <c r="S24" s="810">
        <f>E24-E23</f>
        <v>0.99999999999999989</v>
      </c>
      <c r="T24" s="922">
        <f>H24-H23</f>
        <v>1.7985162187593771</v>
      </c>
      <c r="U24" s="979">
        <f t="shared" si="3"/>
        <v>1.0718900510209579</v>
      </c>
      <c r="V24" s="245"/>
      <c r="W24" s="245" t="str">
        <f t="shared" si="4"/>
        <v>Bought 1 Shares of State 1 at a cost of 1.07189</v>
      </c>
      <c r="X24" s="245" t="str">
        <f t="shared" si="5"/>
        <v>Bought 1.79851621875938 Shares of State 2 at a cost of 1.07189</v>
      </c>
      <c r="Y24" s="980" t="str">
        <f t="shared" si="6"/>
        <v>Bought 1 Shares of State 1 at a cost of 1.07189Bought 1.79851621875938 Shares of State 2 at a cost of 1.07189</v>
      </c>
      <c r="Z24" s="981">
        <f t="shared" si="2"/>
        <v>31745.575373349991</v>
      </c>
      <c r="AA24" s="982">
        <f t="shared" si="7"/>
        <v>0.63491150746699987</v>
      </c>
      <c r="AB24" s="971">
        <f>Q24</f>
        <v>1.0718900510209579</v>
      </c>
      <c r="AC24" s="7" t="s">
        <v>476</v>
      </c>
      <c r="AF24" s="1"/>
      <c r="AG24" s="150" t="s">
        <v>170</v>
      </c>
      <c r="AH24" s="287" t="s">
        <v>150</v>
      </c>
      <c r="AI24" s="237" t="s">
        <v>167</v>
      </c>
      <c r="AJ24" s="140"/>
      <c r="AK24" s="1"/>
      <c r="AL24" s="150" t="s">
        <v>170</v>
      </c>
      <c r="AM24" s="287" t="s">
        <v>150</v>
      </c>
      <c r="AN24" s="237" t="s">
        <v>167</v>
      </c>
    </row>
    <row r="25" spans="2:41" s="7" customFormat="1" ht="18.75" x14ac:dyDescent="0.3">
      <c r="C25" s="990"/>
      <c r="D25" s="25">
        <v>4</v>
      </c>
      <c r="E25" s="233">
        <v>26.3</v>
      </c>
      <c r="F25" s="232">
        <v>25.1</v>
      </c>
      <c r="G25" s="231">
        <v>3.6</v>
      </c>
      <c r="H25" s="230">
        <v>17</v>
      </c>
      <c r="I25" s="229">
        <f t="shared" si="0"/>
        <v>0.54287863557001981</v>
      </c>
      <c r="J25" s="228">
        <f t="shared" si="0"/>
        <v>0.4021743848491009</v>
      </c>
      <c r="K25" s="227">
        <f t="shared" si="0"/>
        <v>1.8624368929449102E-3</v>
      </c>
      <c r="L25" s="226">
        <f t="shared" si="0"/>
        <v>5.3084542687934284E-2</v>
      </c>
      <c r="M25" s="954">
        <f t="shared" si="8"/>
        <v>170.94698629242166</v>
      </c>
      <c r="N25" s="955">
        <f t="shared" si="1"/>
        <v>5830.1484580569668</v>
      </c>
      <c r="O25" s="949">
        <f t="shared" si="9"/>
        <v>0.45525892753703517</v>
      </c>
      <c r="P25" s="337">
        <f t="shared" si="10"/>
        <v>28.743477965068799</v>
      </c>
      <c r="Q25" s="49">
        <f>(P25-P24)</f>
        <v>18.197342481691162</v>
      </c>
      <c r="R25" s="974"/>
      <c r="S25" s="114">
        <f>E25-E24</f>
        <v>24.400000000000002</v>
      </c>
      <c r="T25" s="100">
        <f>H25-H24</f>
        <v>9.3014837812406235</v>
      </c>
      <c r="U25" s="182">
        <f t="shared" si="3"/>
        <v>18.197342481691162</v>
      </c>
      <c r="W25" s="7" t="str">
        <f t="shared" si="4"/>
        <v>Bought 24.4 Shares of State 1 at a cost of 18.19734</v>
      </c>
      <c r="X25" s="7" t="str">
        <f t="shared" si="5"/>
        <v>Bought 9.30148378124062 Shares of State 2 at a cost of 18.19734</v>
      </c>
      <c r="Y25" s="185" t="str">
        <f t="shared" si="6"/>
        <v>Bought 24.4 Shares of State 1 at a cost of 18.19734Bought 9.30148378124062 Shares of State 2 at a cost of 18.19734</v>
      </c>
      <c r="Z25" s="960">
        <f t="shared" si="2"/>
        <v>2747.3489790439594</v>
      </c>
      <c r="AA25" s="975">
        <f t="shared" si="7"/>
        <v>5.4946979580879185E-2</v>
      </c>
      <c r="AB25" s="983"/>
      <c r="AF25" s="5" t="s">
        <v>168</v>
      </c>
      <c r="AG25" s="462">
        <f>D50</f>
        <v>9000</v>
      </c>
      <c r="AH25" s="506">
        <f>($AG$25-$E$5)/($E$6-$E$5)</f>
        <v>0.18</v>
      </c>
      <c r="AI25" s="507">
        <f>1-AH25</f>
        <v>0.82000000000000006</v>
      </c>
      <c r="AK25" s="5" t="s">
        <v>168</v>
      </c>
      <c r="AL25" s="462">
        <f>AG25</f>
        <v>9000</v>
      </c>
      <c r="AM25" s="506">
        <f>($D$50-$E$5)/($E$6-$E$5)</f>
        <v>0.18</v>
      </c>
      <c r="AN25" s="507">
        <f>1-AM25</f>
        <v>0.82000000000000006</v>
      </c>
      <c r="AO25" s="33"/>
    </row>
    <row r="26" spans="2:41" s="7" customFormat="1" ht="19.5" thickBot="1" x14ac:dyDescent="0.35">
      <c r="C26" s="21"/>
      <c r="D26" s="25">
        <v>5</v>
      </c>
      <c r="E26" s="233">
        <v>28.19</v>
      </c>
      <c r="F26" s="232">
        <v>25.32</v>
      </c>
      <c r="G26" s="231">
        <v>3.98</v>
      </c>
      <c r="H26" s="230">
        <v>18.96</v>
      </c>
      <c r="I26" s="229">
        <f t="shared" si="0"/>
        <v>0.62899713969299331</v>
      </c>
      <c r="J26" s="228">
        <f t="shared" si="0"/>
        <v>0.30693214874563624</v>
      </c>
      <c r="K26" s="227">
        <f t="shared" si="0"/>
        <v>1.4793853675200887E-3</v>
      </c>
      <c r="L26" s="226">
        <f t="shared" si="0"/>
        <v>6.2591326193850466E-2</v>
      </c>
      <c r="M26" s="954">
        <f t="shared" si="8"/>
        <v>117.32279543461961</v>
      </c>
      <c r="N26" s="955">
        <f t="shared" si="1"/>
        <v>8469.194846700937</v>
      </c>
      <c r="O26" s="949">
        <f t="shared" si="9"/>
        <v>0.36952347493948667</v>
      </c>
      <c r="P26" s="337">
        <f t="shared" si="10"/>
        <v>30.044514278719856</v>
      </c>
      <c r="Q26" s="49">
        <f t="shared" ref="Q26:Q46" si="11">(P26-P25)</f>
        <v>1.301036313651057</v>
      </c>
      <c r="R26" s="974"/>
      <c r="S26" s="114">
        <f>E26-E25</f>
        <v>1.8900000000000006</v>
      </c>
      <c r="T26" s="100">
        <f>H26-H25</f>
        <v>1.9600000000000009</v>
      </c>
      <c r="U26" s="182">
        <f t="shared" si="3"/>
        <v>1.301036313651057</v>
      </c>
      <c r="W26" s="7" t="str">
        <f t="shared" si="4"/>
        <v>Bought 1.89 Shares of State 1 at a cost of 1.30104</v>
      </c>
      <c r="X26" s="7" t="str">
        <f t="shared" si="5"/>
        <v>Bought 1.96 Shares of State 2 at a cost of 1.30104</v>
      </c>
      <c r="Y26" s="185" t="str">
        <f t="shared" si="6"/>
        <v>Bought 1.89 Shares of State 1 at a cost of 1.30104Bought 1.96 Shares of State 2 at a cost of 1.30104</v>
      </c>
      <c r="Z26" s="960">
        <f t="shared" si="2"/>
        <v>3203.5355780685277</v>
      </c>
      <c r="AA26" s="975">
        <f t="shared" si="7"/>
        <v>6.407071156137055E-2</v>
      </c>
      <c r="AB26" s="1643" t="s">
        <v>464</v>
      </c>
      <c r="AC26" s="1645"/>
      <c r="AF26" s="288" t="s">
        <v>169</v>
      </c>
      <c r="AG26" s="463">
        <v>0</v>
      </c>
      <c r="AH26" s="936">
        <f>AG26</f>
        <v>0</v>
      </c>
      <c r="AI26" s="938">
        <f>1-AH26</f>
        <v>1</v>
      </c>
      <c r="AJ26" s="17"/>
      <c r="AK26" s="288" t="s">
        <v>169</v>
      </c>
      <c r="AL26" s="463">
        <v>1</v>
      </c>
      <c r="AM26" s="936">
        <f>AL26</f>
        <v>1</v>
      </c>
      <c r="AN26" s="938">
        <f>1-AM26</f>
        <v>0</v>
      </c>
      <c r="AO26" s="33"/>
    </row>
    <row r="27" spans="2:41" s="7" customFormat="1" ht="18.75" x14ac:dyDescent="0.3">
      <c r="C27" s="21" t="s">
        <v>479</v>
      </c>
      <c r="D27" s="25">
        <v>6</v>
      </c>
      <c r="E27" s="233">
        <f ca="1">E26+RAND()</f>
        <v>29.170523673891481</v>
      </c>
      <c r="F27" s="232">
        <f t="shared" ref="F27:F42" ca="1" si="12">F26+RAND()</f>
        <v>25.735616447632033</v>
      </c>
      <c r="G27" s="231">
        <f t="shared" ref="G27:G42" ca="1" si="13">G26+RAND()</f>
        <v>3.9983208888443631</v>
      </c>
      <c r="H27" s="230">
        <f t="shared" ref="H27:H42" ca="1" si="14">H26+RAND()</f>
        <v>19.417848865776094</v>
      </c>
      <c r="I27" s="229">
        <f t="shared" ca="1" si="0"/>
        <v>0.66099492564008611</v>
      </c>
      <c r="J27" s="228">
        <f t="shared" ca="1" si="0"/>
        <v>0.28006433831342681</v>
      </c>
      <c r="K27" s="227">
        <f t="shared" ca="1" si="0"/>
        <v>1.2222524986374907E-3</v>
      </c>
      <c r="L27" s="226">
        <f t="shared" ca="1" si="0"/>
        <v>5.7718483547849753E-2</v>
      </c>
      <c r="M27" s="954">
        <f t="shared" ca="1" si="8"/>
        <v>92.284868090619725</v>
      </c>
      <c r="N27" s="955">
        <f t="shared" ca="1" si="1"/>
        <v>8543.7268878572595</v>
      </c>
      <c r="O27" s="949">
        <f t="shared" ca="1" si="9"/>
        <v>0.33778282186127656</v>
      </c>
      <c r="P27" s="337">
        <f t="shared" ca="1" si="10"/>
        <v>30.826560137701584</v>
      </c>
      <c r="Q27" s="49">
        <f t="shared" ca="1" si="11"/>
        <v>0.78204585898172851</v>
      </c>
      <c r="R27" s="974"/>
      <c r="S27" s="114">
        <f ca="1">E27-E24</f>
        <v>27.270523673891482</v>
      </c>
      <c r="T27" s="100">
        <f ca="1">H27-H24</f>
        <v>11.719332647016717</v>
      </c>
      <c r="U27" s="182">
        <f t="shared" ca="1" si="3"/>
        <v>0.78204585898172851</v>
      </c>
      <c r="W27" s="7" t="str">
        <f t="shared" ca="1" si="4"/>
        <v>Bought 27.2705236738915 Shares of State 1 at a cost of 0.78205</v>
      </c>
      <c r="X27" s="7" t="str">
        <f t="shared" ca="1" si="5"/>
        <v>Bought 11.7193326470167 Shares of State 2 at a cost of 0.78205</v>
      </c>
      <c r="Y27" s="185" t="str">
        <f t="shared" ca="1" si="6"/>
        <v>Bought 27.2705236738915 Shares of State 1 at a cost of 0.78205Bought 11.7193326470167 Shares of State 2 at a cost of 0.78205</v>
      </c>
      <c r="Z27" s="960">
        <f t="shared" ca="1" si="2"/>
        <v>2947.0368023243618</v>
      </c>
      <c r="AA27" s="975">
        <f t="shared" ca="1" si="7"/>
        <v>5.8940736046487238E-2</v>
      </c>
      <c r="AB27" s="972">
        <f>SUMPRODUCT(AF29:AI29,I23:L23)</f>
        <v>0.99999999999999989</v>
      </c>
      <c r="AC27" s="7" t="s">
        <v>477</v>
      </c>
    </row>
    <row r="28" spans="2:41" s="7" customFormat="1" ht="18.75" x14ac:dyDescent="0.3">
      <c r="C28" s="21" t="s">
        <v>479</v>
      </c>
      <c r="D28" s="25">
        <v>7</v>
      </c>
      <c r="E28" s="233">
        <f t="shared" ref="E28:E42" ca="1" si="15">E27+RAND()</f>
        <v>29.202994418624538</v>
      </c>
      <c r="F28" s="232">
        <f t="shared" ca="1" si="12"/>
        <v>26.201222997717235</v>
      </c>
      <c r="G28" s="231">
        <f t="shared" ca="1" si="13"/>
        <v>4.1535472247457896</v>
      </c>
      <c r="H28" s="230">
        <f t="shared" ca="1" si="14"/>
        <v>20.077346411794615</v>
      </c>
      <c r="I28" s="229">
        <f t="shared" ca="1" si="0"/>
        <v>0.63443563229912003</v>
      </c>
      <c r="J28" s="228">
        <f t="shared" ca="1" si="0"/>
        <v>0.29955348436027451</v>
      </c>
      <c r="K28" s="227">
        <f t="shared" ca="1" si="0"/>
        <v>1.2097019865927191E-3</v>
      </c>
      <c r="L28" s="226">
        <f t="shared" ca="1" si="0"/>
        <v>6.4801181354012583E-2</v>
      </c>
      <c r="M28" s="954">
        <f t="shared" ca="1" si="8"/>
        <v>95.15542090402387</v>
      </c>
      <c r="N28" s="955">
        <f t="shared" ca="1" si="1"/>
        <v>8892.5966169494823</v>
      </c>
      <c r="O28" s="949">
        <f t="shared" ca="1" si="9"/>
        <v>0.3643546657142871</v>
      </c>
      <c r="P28" s="337">
        <f t="shared" ca="1" si="10"/>
        <v>31.023072191867765</v>
      </c>
      <c r="Q28" s="49">
        <f t="shared" ca="1" si="11"/>
        <v>0.19651205416618112</v>
      </c>
      <c r="R28" s="974"/>
      <c r="S28" s="114">
        <f ca="1">E28-E23</f>
        <v>28.302994418624539</v>
      </c>
      <c r="T28" s="100">
        <f ca="1">H28-H23</f>
        <v>14.177346411794614</v>
      </c>
      <c r="U28" s="182">
        <f t="shared" ca="1" si="3"/>
        <v>0.19651205416618112</v>
      </c>
      <c r="W28" s="7" t="str">
        <f t="shared" ca="1" si="4"/>
        <v>Bought 28.3029944186245 Shares of State 1 at a cost of 0.19651</v>
      </c>
      <c r="X28" s="7" t="str">
        <f t="shared" ca="1" si="5"/>
        <v>Bought 14.1773464117946 Shares of State 2 at a cost of 0.19651</v>
      </c>
      <c r="Y28" s="185" t="str">
        <f t="shared" ca="1" si="6"/>
        <v>Bought 28.3029944186245 Shares of State 1 at a cost of 0.19651Bought 14.1773464117946 Shares of State 2 at a cost of 0.19651</v>
      </c>
      <c r="Z28" s="960">
        <f t="shared" ca="1" si="2"/>
        <v>3300.5441670302648</v>
      </c>
      <c r="AA28" s="975">
        <f t="shared" ca="1" si="7"/>
        <v>6.60108833406053E-2</v>
      </c>
      <c r="AF28" s="464">
        <f>AI25*AI26</f>
        <v>0.82000000000000006</v>
      </c>
      <c r="AG28" s="464">
        <f>AI25*AH26</f>
        <v>0</v>
      </c>
      <c r="AH28" s="464">
        <f>AH25*AI26</f>
        <v>0.18</v>
      </c>
      <c r="AI28" s="464">
        <f>AH25*AH26</f>
        <v>0</v>
      </c>
      <c r="AJ28" s="17"/>
      <c r="AK28" s="464">
        <f>AN25*AN26</f>
        <v>0</v>
      </c>
      <c r="AL28" s="464">
        <f>AN25*AM26</f>
        <v>0.82000000000000006</v>
      </c>
      <c r="AM28" s="464">
        <f>AM25*AN26</f>
        <v>0</v>
      </c>
      <c r="AN28" s="464">
        <f>AM25*AM26</f>
        <v>0.18</v>
      </c>
      <c r="AO28" s="33"/>
    </row>
    <row r="29" spans="2:41" s="7" customFormat="1" ht="18.75" x14ac:dyDescent="0.3">
      <c r="C29" s="21" t="s">
        <v>479</v>
      </c>
      <c r="D29" s="25">
        <v>6</v>
      </c>
      <c r="E29" s="233">
        <f t="shared" ca="1" si="15"/>
        <v>29.646125122105495</v>
      </c>
      <c r="F29" s="232">
        <f t="shared" ca="1" si="12"/>
        <v>26.452208900520194</v>
      </c>
      <c r="G29" s="231">
        <f t="shared" ca="1" si="13"/>
        <v>4.2852122621728865</v>
      </c>
      <c r="H29" s="230">
        <f t="shared" ca="1" si="14"/>
        <v>20.417034944068224</v>
      </c>
      <c r="I29" s="229">
        <f t="shared" ca="1" si="0"/>
        <v>0.64461684280295251</v>
      </c>
      <c r="J29" s="228">
        <f t="shared" ca="1" si="0"/>
        <v>0.29008588744045782</v>
      </c>
      <c r="K29" s="227">
        <f t="shared" ca="1" si="0"/>
        <v>1.1370394186146333E-3</v>
      </c>
      <c r="L29" s="226">
        <f t="shared" ca="1" si="0"/>
        <v>6.416023033797498E-2</v>
      </c>
      <c r="M29" s="954">
        <f t="shared" ca="1" si="8"/>
        <v>88.039688952617027</v>
      </c>
      <c r="N29" s="955">
        <f t="shared" ca="1" si="1"/>
        <v>9055.8833418330814</v>
      </c>
      <c r="O29" s="949">
        <f t="shared" ca="1" si="9"/>
        <v>0.35424611777843279</v>
      </c>
      <c r="P29" s="337">
        <f t="shared" ca="1" si="10"/>
        <v>31.402521845566632</v>
      </c>
      <c r="Q29" s="49">
        <f t="shared" ca="1" si="11"/>
        <v>0.37944965369886674</v>
      </c>
      <c r="R29" s="974"/>
      <c r="S29" s="114">
        <f ca="1">E29-E24</f>
        <v>27.746125122105497</v>
      </c>
      <c r="T29" s="100">
        <f ca="1">H29-H24</f>
        <v>12.718518725308847</v>
      </c>
      <c r="U29" s="182">
        <f t="shared" ca="1" si="3"/>
        <v>0.37944965369886674</v>
      </c>
      <c r="W29" s="7" t="str">
        <f t="shared" ca="1" si="4"/>
        <v>Bought 27.7461251221055 Shares of State 1 at a cost of 0.37945</v>
      </c>
      <c r="X29" s="7" t="str">
        <f t="shared" ca="1" si="5"/>
        <v>Bought 12.7185187253088 Shares of State 2 at a cost of 0.37945</v>
      </c>
      <c r="Y29" s="185" t="str">
        <f t="shared" ca="1" si="6"/>
        <v>Bought 27.7461251221055 Shares of State 1 at a cost of 0.37945Bought 12.7185187253088 Shares of State 2 at a cost of 0.37945</v>
      </c>
      <c r="Z29" s="960">
        <f t="shared" ca="1" si="2"/>
        <v>3264.8634878294811</v>
      </c>
      <c r="AA29" s="975">
        <f t="shared" ca="1" si="7"/>
        <v>6.5297269756589615E-2</v>
      </c>
      <c r="AC29"/>
      <c r="AE29" s="21" t="s">
        <v>312</v>
      </c>
      <c r="AF29" s="626">
        <f>E24-E23</f>
        <v>0.99999999999999989</v>
      </c>
      <c r="AG29" s="626">
        <f>F24-F23</f>
        <v>0</v>
      </c>
      <c r="AH29" s="626">
        <f>G24-G23</f>
        <v>0.99999999999999978</v>
      </c>
      <c r="AI29" s="626">
        <f>H24-H23</f>
        <v>1.7985162187593771</v>
      </c>
      <c r="AJ29" s="188"/>
      <c r="AK29" s="626">
        <f>AF29</f>
        <v>0.99999999999999989</v>
      </c>
      <c r="AL29" s="626">
        <f>AG29</f>
        <v>0</v>
      </c>
      <c r="AM29" s="626">
        <f>AH29</f>
        <v>0.99999999999999978</v>
      </c>
      <c r="AN29" s="626">
        <f>AI29</f>
        <v>1.7985162187593771</v>
      </c>
      <c r="AO29" s="33"/>
    </row>
    <row r="30" spans="2:41" s="7" customFormat="1" ht="18.75" x14ac:dyDescent="0.3">
      <c r="C30" s="21" t="s">
        <v>479</v>
      </c>
      <c r="D30" s="25">
        <v>7</v>
      </c>
      <c r="E30" s="233">
        <f t="shared" ca="1" si="15"/>
        <v>30.020227350082607</v>
      </c>
      <c r="F30" s="232">
        <f t="shared" ca="1" si="12"/>
        <v>26.906016377087393</v>
      </c>
      <c r="G30" s="231">
        <f t="shared" ca="1" si="13"/>
        <v>4.9785307999153536</v>
      </c>
      <c r="H30" s="230">
        <f t="shared" ca="1" si="14"/>
        <v>20.54347543238195</v>
      </c>
      <c r="I30" s="229">
        <f t="shared" ca="1" si="0"/>
        <v>0.64327834259748062</v>
      </c>
      <c r="J30" s="228">
        <f t="shared" ca="1" si="0"/>
        <v>0.29530973908105185</v>
      </c>
      <c r="K30" s="227">
        <f t="shared" ca="1" si="0"/>
        <v>1.2289416774976991E-3</v>
      </c>
      <c r="L30" s="226">
        <f t="shared" ca="1" si="0"/>
        <v>6.0182976643969738E-2</v>
      </c>
      <c r="M30" s="954">
        <f t="shared" ca="1" si="8"/>
        <v>95.339626679329541</v>
      </c>
      <c r="N30" s="955">
        <f t="shared" ca="1" si="1"/>
        <v>8464.7271212333471</v>
      </c>
      <c r="O30" s="949">
        <f t="shared" ca="1" si="9"/>
        <v>0.35549271572502161</v>
      </c>
      <c r="P30" s="337">
        <f t="shared" ca="1" si="10"/>
        <v>31.784938419012622</v>
      </c>
      <c r="Q30" s="49">
        <f t="shared" ca="1" si="11"/>
        <v>0.38241657344599034</v>
      </c>
      <c r="R30" s="974"/>
      <c r="S30" s="114">
        <f ca="1">E30-E23</f>
        <v>29.120227350082608</v>
      </c>
      <c r="T30" s="100">
        <f ca="1">H30-H23</f>
        <v>14.643475432381949</v>
      </c>
      <c r="U30" s="182">
        <f t="shared" ca="1" si="3"/>
        <v>0.38241657344599034</v>
      </c>
      <c r="W30" s="7" t="str">
        <f t="shared" ca="1" si="4"/>
        <v>Bought 29.1202273500826 Shares of State 1 at a cost of 0.38242</v>
      </c>
      <c r="X30" s="7" t="str">
        <f t="shared" ca="1" si="5"/>
        <v>Bought 14.6434754323819 Shares of State 2 at a cost of 0.38242</v>
      </c>
      <c r="Y30" s="185" t="str">
        <f t="shared" ca="1" si="6"/>
        <v>Bought 29.1202273500826 Shares of State 1 at a cost of 0.38242Bought 14.6434754323819 Shares of State 2 at a cost of 0.38242</v>
      </c>
      <c r="Z30" s="960">
        <f t="shared" ca="1" si="2"/>
        <v>3070.5959160733714</v>
      </c>
      <c r="AA30" s="975">
        <f t="shared" ca="1" si="7"/>
        <v>6.1411918321467432E-2</v>
      </c>
      <c r="AJ30" s="140"/>
    </row>
    <row r="31" spans="2:41" s="7" customFormat="1" ht="18.75" x14ac:dyDescent="0.3">
      <c r="C31" s="21" t="s">
        <v>479</v>
      </c>
      <c r="D31" s="25">
        <v>6</v>
      </c>
      <c r="E31" s="233">
        <f t="shared" ca="1" si="15"/>
        <v>30.62458745208825</v>
      </c>
      <c r="F31" s="232">
        <f t="shared" ca="1" si="12"/>
        <v>27.648520434056341</v>
      </c>
      <c r="G31" s="231">
        <f t="shared" ca="1" si="13"/>
        <v>5.6420495476245867</v>
      </c>
      <c r="H31" s="230">
        <f t="shared" ca="1" si="14"/>
        <v>20.811915001636518</v>
      </c>
      <c r="I31" s="229">
        <f t="shared" ca="1" si="0"/>
        <v>0.63972943389309433</v>
      </c>
      <c r="J31" s="228">
        <f t="shared" ca="1" si="0"/>
        <v>0.30400026493899412</v>
      </c>
      <c r="K31" s="227">
        <f t="shared" ca="1" si="0"/>
        <v>1.2403714005057938E-3</v>
      </c>
      <c r="L31" s="226">
        <f t="shared" ca="1" si="0"/>
        <v>5.5029929767405721E-2</v>
      </c>
      <c r="M31" s="954">
        <f t="shared" ca="1" si="8"/>
        <v>96.757397170810108</v>
      </c>
      <c r="N31" s="955">
        <f t="shared" ca="1" si="1"/>
        <v>7663.6910458752554</v>
      </c>
      <c r="O31" s="949">
        <f t="shared" ca="1" si="9"/>
        <v>0.35903019470639985</v>
      </c>
      <c r="P31" s="337">
        <f t="shared" ca="1" si="10"/>
        <v>32.411427258322128</v>
      </c>
      <c r="Q31" s="49">
        <f t="shared" ca="1" si="11"/>
        <v>0.62648883930950561</v>
      </c>
      <c r="R31" s="974"/>
      <c r="S31" s="114">
        <f ca="1">E31-E26</f>
        <v>2.4345874520882482</v>
      </c>
      <c r="T31" s="100">
        <f ca="1">H31-H26</f>
        <v>1.8519150016365167</v>
      </c>
      <c r="U31" s="182">
        <f t="shared" ca="1" si="3"/>
        <v>0.62648883930950561</v>
      </c>
      <c r="W31" s="7" t="str">
        <f t="shared" ca="1" si="4"/>
        <v>Bought 2.43458745208825 Shares of State 1 at a cost of 0.62649</v>
      </c>
      <c r="X31" s="7" t="str">
        <f t="shared" ca="1" si="5"/>
        <v>Bought 1.85191500163652 Shares of State 2 at a cost of 0.62649</v>
      </c>
      <c r="Y31" s="185" t="str">
        <f t="shared" ca="1" si="6"/>
        <v>Bought 2.43458745208825 Shares of State 1 at a cost of 0.62649Bought 1.85191500163652 Shares of State 2 at a cost of 0.62649</v>
      </c>
      <c r="Z31" s="960">
        <f t="shared" ca="1" si="2"/>
        <v>2813.5150583955756</v>
      </c>
      <c r="AA31" s="975">
        <f t="shared" ca="1" si="7"/>
        <v>5.6270301167911513E-2</v>
      </c>
      <c r="AE31" s="7" t="s">
        <v>174</v>
      </c>
      <c r="AF31" s="937">
        <f>SUMPRODUCT(AF28:AI28,AF29:AI29)</f>
        <v>0.99999999999999989</v>
      </c>
      <c r="AK31" s="973">
        <f>SUMPRODUCT(AK28:AN28,AK29:AN29)</f>
        <v>0.32373291937668786</v>
      </c>
      <c r="AM31" s="33"/>
      <c r="AN31" s="33"/>
      <c r="AO31" s="33"/>
    </row>
    <row r="32" spans="2:41" s="7" customFormat="1" ht="18.75" x14ac:dyDescent="0.3">
      <c r="C32" s="21" t="s">
        <v>479</v>
      </c>
      <c r="D32" s="25">
        <v>7</v>
      </c>
      <c r="E32" s="233">
        <f t="shared" ca="1" si="15"/>
        <v>30.699416880030398</v>
      </c>
      <c r="F32" s="232">
        <f t="shared" ca="1" si="12"/>
        <v>28.53889479862001</v>
      </c>
      <c r="G32" s="231">
        <f t="shared" ca="1" si="13"/>
        <v>6.1341943601464131</v>
      </c>
      <c r="H32" s="230">
        <f t="shared" ca="1" si="14"/>
        <v>21.528453254586037</v>
      </c>
      <c r="I32" s="229">
        <f t="shared" ca="1" si="0"/>
        <v>0.59318539527196756</v>
      </c>
      <c r="J32" s="228">
        <f t="shared" ca="1" si="0"/>
        <v>0.3456326373906608</v>
      </c>
      <c r="K32" s="227">
        <f t="shared" ca="1" si="0"/>
        <v>1.276601360737693E-3</v>
      </c>
      <c r="L32" s="226">
        <f t="shared" ca="1" si="0"/>
        <v>5.9905365976633866E-2</v>
      </c>
      <c r="M32" s="954">
        <f t="shared" ca="1" si="8"/>
        <v>107.3745140958485</v>
      </c>
      <c r="N32" s="955">
        <f t="shared" ca="1" si="1"/>
        <v>7385.912723249483</v>
      </c>
      <c r="O32" s="949">
        <f t="shared" ca="1" si="9"/>
        <v>0.40553800336729467</v>
      </c>
      <c r="P32" s="337">
        <f t="shared" ca="1" si="10"/>
        <v>32.788410037087395</v>
      </c>
      <c r="Q32" s="49">
        <f t="shared" ca="1" si="11"/>
        <v>0.37698277876526731</v>
      </c>
      <c r="R32" s="974"/>
      <c r="S32" s="114">
        <f ca="1">E32-E25</f>
        <v>4.3994168800303974</v>
      </c>
      <c r="T32" s="100">
        <f ca="1">H32-H25</f>
        <v>4.5284532545860365</v>
      </c>
      <c r="U32" s="182">
        <f t="shared" ca="1" si="3"/>
        <v>0.37698277876526731</v>
      </c>
      <c r="W32" s="7" t="str">
        <f t="shared" ca="1" si="4"/>
        <v>Bought 4.3994168800304 Shares of State 1 at a cost of 0.37698</v>
      </c>
      <c r="X32" s="7" t="str">
        <f t="shared" ca="1" si="5"/>
        <v>Bought 4.52845325458604 Shares of State 2 at a cost of 0.37698</v>
      </c>
      <c r="Y32" s="185" t="str">
        <f t="shared" ca="1" si="6"/>
        <v>Bought 4.3994168800304 Shares of State 1 at a cost of 0.37698Bought 4.52845325458604 Shares of State 2 at a cost of 0.37698</v>
      </c>
      <c r="Z32" s="960">
        <f t="shared" ca="1" si="2"/>
        <v>3059.0983668685781</v>
      </c>
      <c r="AA32" s="975">
        <f t="shared" ca="1" si="7"/>
        <v>6.1181967337371558E-2</v>
      </c>
      <c r="AE32" s="21" t="s">
        <v>465</v>
      </c>
      <c r="AF32" s="608">
        <f>(AF31-$AB$27)/$AB$27</f>
        <v>0</v>
      </c>
      <c r="AG32" s="7" t="s">
        <v>478</v>
      </c>
      <c r="AJ32" s="17"/>
      <c r="AK32" s="608">
        <f>(AK31-$AB$27)/$AB$27</f>
        <v>-0.67626708062331209</v>
      </c>
      <c r="AL32" s="7" t="s">
        <v>474</v>
      </c>
      <c r="AM32" s="33"/>
      <c r="AN32" s="33"/>
      <c r="AO32" s="33"/>
    </row>
    <row r="33" spans="3:42" s="7" customFormat="1" ht="18.75" x14ac:dyDescent="0.3">
      <c r="C33" s="21" t="s">
        <v>479</v>
      </c>
      <c r="D33" s="25">
        <v>8</v>
      </c>
      <c r="E33" s="233">
        <f t="shared" ca="1" si="15"/>
        <v>31.613121104399134</v>
      </c>
      <c r="F33" s="232">
        <f t="shared" ca="1" si="12"/>
        <v>28.580192672373236</v>
      </c>
      <c r="G33" s="231">
        <f t="shared" ca="1" si="13"/>
        <v>6.2800269143739076</v>
      </c>
      <c r="H33" s="230">
        <f t="shared" ca="1" si="14"/>
        <v>22.397889570836846</v>
      </c>
      <c r="I33" s="229">
        <f t="shared" ca="1" si="0"/>
        <v>0.6368826591383181</v>
      </c>
      <c r="J33" s="228">
        <f t="shared" ca="1" si="0"/>
        <v>0.29837566757427292</v>
      </c>
      <c r="K33" s="227">
        <f t="shared" ca="1" si="0"/>
        <v>1.1312371790409431E-3</v>
      </c>
      <c r="L33" s="226">
        <f t="shared" ca="1" si="0"/>
        <v>6.3610436108368001E-2</v>
      </c>
      <c r="M33" s="954">
        <f t="shared" ca="1" si="8"/>
        <v>88.653020378591123</v>
      </c>
      <c r="N33" s="955">
        <f t="shared" ca="1" si="1"/>
        <v>8786.3091236419805</v>
      </c>
      <c r="O33" s="949">
        <f t="shared" ca="1" si="9"/>
        <v>0.36198610368264095</v>
      </c>
      <c r="P33" s="337">
        <f t="shared" ca="1" si="10"/>
        <v>33.417800500209239</v>
      </c>
      <c r="Q33" s="49">
        <f t="shared" ca="1" si="11"/>
        <v>0.62939046312184388</v>
      </c>
      <c r="R33" s="974"/>
      <c r="S33" s="114">
        <f ca="1">E33-E24</f>
        <v>29.713121104399136</v>
      </c>
      <c r="T33" s="100">
        <f ca="1">H33-H24</f>
        <v>14.699373352077469</v>
      </c>
      <c r="U33" s="182">
        <f t="shared" ca="1" si="3"/>
        <v>0.62939046312184388</v>
      </c>
      <c r="W33" s="7" t="str">
        <f t="shared" ca="1" si="4"/>
        <v>Bought 29.7131211043991 Shares of State 1 at a cost of 0.62939</v>
      </c>
      <c r="X33" s="7" t="str">
        <f t="shared" ca="1" si="5"/>
        <v>Bought 14.6993733520775 Shares of State 2 at a cost of 0.62939</v>
      </c>
      <c r="Y33" s="185" t="str">
        <f t="shared" ca="1" si="6"/>
        <v>Bought 29.7131211043991 Shares of State 1 at a cost of 0.62939Bought 14.6993733520775 Shares of State 2 at a cost of 0.62939</v>
      </c>
      <c r="Z33" s="960">
        <f t="shared" ca="1" si="2"/>
        <v>3237.0836643704474</v>
      </c>
      <c r="AA33" s="967">
        <f t="shared" ca="1" si="7"/>
        <v>6.4741673287408943E-2</v>
      </c>
    </row>
    <row r="34" spans="3:42" s="7" customFormat="1" ht="18.75" x14ac:dyDescent="0.3">
      <c r="C34" s="21" t="s">
        <v>479</v>
      </c>
      <c r="D34" s="25">
        <v>9</v>
      </c>
      <c r="E34" s="233">
        <f t="shared" ca="1" si="15"/>
        <v>31.75754369667635</v>
      </c>
      <c r="F34" s="232">
        <f t="shared" ca="1" si="12"/>
        <v>28.789088530326239</v>
      </c>
      <c r="G34" s="231">
        <f t="shared" ca="1" si="13"/>
        <v>6.434739255070598</v>
      </c>
      <c r="H34" s="230">
        <f t="shared" ca="1" si="14"/>
        <v>22.593715757938462</v>
      </c>
      <c r="I34" s="229">
        <f t="shared" ca="1" si="0"/>
        <v>0.6332894245664159</v>
      </c>
      <c r="J34" s="228">
        <f t="shared" ca="1" si="0"/>
        <v>0.30151318690229889</v>
      </c>
      <c r="K34" s="227">
        <f t="shared" ca="1" si="0"/>
        <v>1.1277521841642939E-3</v>
      </c>
      <c r="L34" s="226">
        <f t="shared" ca="1" si="0"/>
        <v>6.4069636347120762E-2</v>
      </c>
      <c r="M34" s="954">
        <f t="shared" ca="1" si="8"/>
        <v>88.880962361432665</v>
      </c>
      <c r="N34" s="955">
        <f t="shared" ca="1" si="1"/>
        <v>8762.6704911419092</v>
      </c>
      <c r="O34" s="949">
        <f t="shared" ca="1" si="9"/>
        <v>0.36558282324941965</v>
      </c>
      <c r="P34" s="337">
        <f t="shared" ca="1" si="10"/>
        <v>33.584854634800749</v>
      </c>
      <c r="Q34" s="49">
        <f t="shared" ca="1" si="11"/>
        <v>0.16705413459150975</v>
      </c>
      <c r="R34" s="974"/>
      <c r="S34" s="114">
        <f ca="1">E34-E26</f>
        <v>3.5675436966763492</v>
      </c>
      <c r="T34" s="100">
        <f ca="1">H34-H26</f>
        <v>3.6337157579384609</v>
      </c>
      <c r="U34" s="182">
        <f t="shared" ca="1" si="3"/>
        <v>0.16705413459150975</v>
      </c>
      <c r="W34" s="7" t="str">
        <f t="shared" ca="1" si="4"/>
        <v>Bought 3.56754369667635 Shares of State 1 at a cost of 0.16705</v>
      </c>
      <c r="X34" s="7" t="str">
        <f t="shared" ca="1" si="5"/>
        <v>Bought 3.63371575793846 Shares of State 2 at a cost of 0.16705</v>
      </c>
      <c r="Y34" s="185" t="str">
        <f t="shared" ca="1" si="6"/>
        <v>Bought 3.56754369667635 Shares of State 1 at a cost of 0.16705Bought 3.63371575793846 Shares of State 2 at a cost of 0.16705</v>
      </c>
      <c r="Z34" s="960">
        <f t="shared" ca="1" si="2"/>
        <v>3259.8694265642525</v>
      </c>
      <c r="AA34" s="967">
        <f t="shared" ca="1" si="7"/>
        <v>6.5197388531285053E-2</v>
      </c>
      <c r="AE34" s="8"/>
      <c r="AF34" s="8"/>
      <c r="AG34" s="8"/>
      <c r="AH34" s="8"/>
      <c r="AI34" s="8"/>
      <c r="AJ34" s="8"/>
      <c r="AK34" s="8"/>
      <c r="AL34" s="8"/>
      <c r="AM34" s="8"/>
      <c r="AN34" s="8"/>
      <c r="AO34" s="8"/>
      <c r="AP34" s="8"/>
    </row>
    <row r="35" spans="3:42" s="7" customFormat="1" ht="18.75" x14ac:dyDescent="0.3">
      <c r="C35" s="21" t="s">
        <v>479</v>
      </c>
      <c r="D35" s="25">
        <v>10</v>
      </c>
      <c r="E35" s="233">
        <f t="shared" ca="1" si="15"/>
        <v>32.382060443678313</v>
      </c>
      <c r="F35" s="232">
        <f t="shared" ca="1" si="12"/>
        <v>29.72726302086021</v>
      </c>
      <c r="G35" s="231">
        <f t="shared" ca="1" si="13"/>
        <v>7.3403797045053176</v>
      </c>
      <c r="H35" s="230">
        <f t="shared" ca="1" si="14"/>
        <v>23.375679258500838</v>
      </c>
      <c r="I35" s="229">
        <f t="shared" ca="1" si="0"/>
        <v>0.61649069137191737</v>
      </c>
      <c r="J35" s="228">
        <f t="shared" ca="1" si="0"/>
        <v>0.31745747350095033</v>
      </c>
      <c r="K35" s="227">
        <f t="shared" ca="1" si="0"/>
        <v>1.17777025741029E-3</v>
      </c>
      <c r="L35" s="226">
        <f t="shared" ca="1" si="0"/>
        <v>6.4874064869721915E-2</v>
      </c>
      <c r="M35" s="954">
        <f t="shared" ca="1" si="8"/>
        <v>95.340002815061013</v>
      </c>
      <c r="N35" s="955">
        <f t="shared" ca="1" si="1"/>
        <v>8484.0064654601156</v>
      </c>
      <c r="O35" s="949">
        <f t="shared" ca="1" si="9"/>
        <v>0.38233153837067224</v>
      </c>
      <c r="P35" s="337">
        <f t="shared" ca="1" si="10"/>
        <v>34.316908666258911</v>
      </c>
      <c r="Q35" s="49">
        <f t="shared" ca="1" si="11"/>
        <v>0.73205403145816206</v>
      </c>
      <c r="R35" s="974"/>
      <c r="S35" s="114">
        <f ca="1">E35-E25</f>
        <v>6.0820604436783121</v>
      </c>
      <c r="T35" s="100">
        <f ca="1">H35-H25</f>
        <v>6.3756792585008384</v>
      </c>
      <c r="U35" s="182">
        <f t="shared" ca="1" si="3"/>
        <v>0.73205403145816206</v>
      </c>
      <c r="W35" s="7" t="str">
        <f t="shared" ca="1" si="4"/>
        <v>Bought 6.08206044367831 Shares of State 1 at a cost of 0.73205</v>
      </c>
      <c r="X35" s="7" t="str">
        <f t="shared" ca="1" si="5"/>
        <v>Bought 6.37567925850084 Shares of State 2 at a cost of 0.73205</v>
      </c>
      <c r="Y35" s="185" t="str">
        <f t="shared" ca="1" si="6"/>
        <v>Bought 6.08206044367831 Shares of State 1 at a cost of 0.73205Bought 6.37567925850084 Shares of State 2 at a cost of 0.73205</v>
      </c>
      <c r="Z35" s="960">
        <f t="shared" ca="1" si="2"/>
        <v>3302.5917563566104</v>
      </c>
      <c r="AA35" s="967">
        <f t="shared" ca="1" si="7"/>
        <v>6.6051835127132211E-2</v>
      </c>
      <c r="AE35" s="8"/>
      <c r="AF35" s="8"/>
      <c r="AG35" s="8"/>
      <c r="AH35" s="8"/>
      <c r="AI35" s="8"/>
      <c r="AJ35" s="8"/>
      <c r="AK35" s="8"/>
      <c r="AL35" s="8"/>
      <c r="AM35" s="8"/>
      <c r="AN35" s="8"/>
      <c r="AO35" s="8"/>
      <c r="AP35" s="8"/>
    </row>
    <row r="36" spans="3:42" s="7" customFormat="1" ht="18.75" x14ac:dyDescent="0.3">
      <c r="C36" s="21" t="s">
        <v>479</v>
      </c>
      <c r="D36" s="25">
        <v>11</v>
      </c>
      <c r="E36" s="233">
        <f t="shared" ca="1" si="15"/>
        <v>33.38139195757725</v>
      </c>
      <c r="F36" s="232">
        <f t="shared" ca="1" si="12"/>
        <v>30.182303675708209</v>
      </c>
      <c r="G36" s="231">
        <f t="shared" ca="1" si="13"/>
        <v>7.5074531405329727</v>
      </c>
      <c r="H36" s="230">
        <f t="shared" ca="1" si="14"/>
        <v>23.988862133743773</v>
      </c>
      <c r="I36" s="229">
        <f t="shared" ca="1" si="0"/>
        <v>0.64660869220938466</v>
      </c>
      <c r="J36" s="228">
        <f t="shared" ca="1" si="0"/>
        <v>0.29060624405685759</v>
      </c>
      <c r="K36" s="227">
        <f t="shared" ca="1" si="0"/>
        <v>1.0032619123821114E-3</v>
      </c>
      <c r="L36" s="226">
        <f t="shared" ca="1" si="0"/>
        <v>6.1781801821375604E-2</v>
      </c>
      <c r="M36" s="954">
        <f t="shared" ca="1" si="8"/>
        <v>77.458569595325429</v>
      </c>
      <c r="N36" s="955">
        <f t="shared" ca="1" si="1"/>
        <v>8766.1602804091926</v>
      </c>
      <c r="O36" s="949">
        <f t="shared" ca="1" si="9"/>
        <v>0.35238804587823319</v>
      </c>
      <c r="P36" s="337">
        <f t="shared" ca="1" si="10"/>
        <v>35.125447840914788</v>
      </c>
      <c r="Q36" s="49">
        <f t="shared" ca="1" si="11"/>
        <v>0.80853917465587699</v>
      </c>
      <c r="R36" s="974"/>
      <c r="S36" s="114">
        <f ca="1">E36-E24</f>
        <v>31.481391957577252</v>
      </c>
      <c r="T36" s="100">
        <f ca="1">H36-H24</f>
        <v>16.290345914984396</v>
      </c>
      <c r="U36" s="182">
        <f t="shared" ca="1" si="3"/>
        <v>0.80853917465587699</v>
      </c>
      <c r="W36" s="7" t="str">
        <f t="shared" ca="1" si="4"/>
        <v>Bought 31.4813919575773 Shares of State 1 at a cost of 0.80854</v>
      </c>
      <c r="X36" s="7" t="str">
        <f t="shared" ca="1" si="5"/>
        <v>Bought 16.2903459149844 Shares of State 2 at a cost of 0.80854</v>
      </c>
      <c r="Y36" s="185" t="str">
        <f t="shared" ca="1" si="6"/>
        <v>Bought 31.4813919575773 Shares of State 1 at a cost of 0.80854Bought 16.2903459149844 Shares of State 2 at a cost of 0.80854</v>
      </c>
      <c r="Z36" s="960">
        <f t="shared" ca="1" si="2"/>
        <v>3139.2531866878858</v>
      </c>
      <c r="AA36" s="967">
        <f t="shared" ca="1" si="7"/>
        <v>6.2785063733757709E-2</v>
      </c>
      <c r="AE36" s="8"/>
      <c r="AF36" s="28"/>
      <c r="AG36" s="28"/>
      <c r="AH36" s="28"/>
      <c r="AI36" s="28"/>
      <c r="AJ36" s="28"/>
      <c r="AK36" s="28"/>
      <c r="AL36" s="28"/>
      <c r="AM36" s="28"/>
      <c r="AN36" s="8"/>
      <c r="AO36" s="8"/>
      <c r="AP36" s="8"/>
    </row>
    <row r="37" spans="3:42" s="7" customFormat="1" ht="18.75" x14ac:dyDescent="0.3">
      <c r="C37" s="21" t="s">
        <v>479</v>
      </c>
      <c r="D37" s="25">
        <v>9</v>
      </c>
      <c r="E37" s="233">
        <f t="shared" ca="1" si="15"/>
        <v>34.146280127191226</v>
      </c>
      <c r="F37" s="232">
        <f t="shared" ca="1" si="12"/>
        <v>30.831622186687955</v>
      </c>
      <c r="G37" s="231">
        <f t="shared" ca="1" si="13"/>
        <v>7.7733811009374332</v>
      </c>
      <c r="H37" s="230">
        <f t="shared" ca="1" si="14"/>
        <v>24.305306959091602</v>
      </c>
      <c r="I37" s="229">
        <f t="shared" ca="1" si="0"/>
        <v>0.65641960234725028</v>
      </c>
      <c r="J37" s="228">
        <f t="shared" ca="1" si="0"/>
        <v>0.28661382066317315</v>
      </c>
      <c r="K37" s="227">
        <f t="shared" ca="1" si="0"/>
        <v>8.9904289243420495E-4</v>
      </c>
      <c r="L37" s="226">
        <f t="shared" ca="1" si="0"/>
        <v>5.6067534097142303E-2</v>
      </c>
      <c r="M37" s="954">
        <f t="shared" ca="1" si="8"/>
        <v>68.387143658946272</v>
      </c>
      <c r="N37" s="955">
        <f t="shared" ca="1" si="1"/>
        <v>8180.7097640836182</v>
      </c>
      <c r="O37" s="949">
        <f t="shared" ca="1" si="9"/>
        <v>0.34268135476031547</v>
      </c>
      <c r="P37" s="337">
        <f t="shared" ca="1" si="10"/>
        <v>35.83010035436962</v>
      </c>
      <c r="Q37" s="49">
        <f t="shared" ca="1" si="11"/>
        <v>0.70465251345483182</v>
      </c>
      <c r="R37" s="974"/>
      <c r="S37" s="114">
        <f ca="1">E37-E33</f>
        <v>2.5331590227920913</v>
      </c>
      <c r="T37" s="100">
        <f ca="1">H37-H33</f>
        <v>1.9074173882547569</v>
      </c>
      <c r="U37" s="182">
        <f t="shared" ca="1" si="3"/>
        <v>0.70465251345483182</v>
      </c>
      <c r="W37" s="7" t="str">
        <f t="shared" ca="1" si="4"/>
        <v>Bought 2.53315902279209 Shares of State 1 at a cost of 0.70465</v>
      </c>
      <c r="X37" s="7" t="str">
        <f t="shared" ca="1" si="5"/>
        <v>Bought 1.90741738825476 Shares of State 2 at a cost of 0.70465</v>
      </c>
      <c r="Y37" s="185" t="str">
        <f t="shared" ca="1" si="6"/>
        <v>Bought 2.53315902279209 Shares of State 1 at a cost of 0.70465Bought 1.90741738825476 Shares of State 2 at a cost of 0.70465</v>
      </c>
      <c r="Z37" s="960">
        <f t="shared" ca="1" si="2"/>
        <v>2848.3288494788253</v>
      </c>
      <c r="AA37" s="967">
        <f t="shared" ca="1" si="7"/>
        <v>5.6966576989576509E-2</v>
      </c>
      <c r="AE37" s="8"/>
      <c r="AF37" s="8"/>
      <c r="AG37" s="8"/>
      <c r="AH37" s="8"/>
      <c r="AI37" s="8"/>
      <c r="AJ37" s="8"/>
      <c r="AK37" s="8"/>
      <c r="AL37" s="8"/>
      <c r="AM37" s="8"/>
      <c r="AN37" s="8"/>
      <c r="AO37" s="8"/>
      <c r="AP37" s="8"/>
    </row>
    <row r="38" spans="3:42" s="7" customFormat="1" ht="18.75" x14ac:dyDescent="0.3">
      <c r="C38" s="21" t="s">
        <v>479</v>
      </c>
      <c r="D38" s="25">
        <v>10</v>
      </c>
      <c r="E38" s="233">
        <f t="shared" ca="1" si="15"/>
        <v>35.13012343560807</v>
      </c>
      <c r="F38" s="232">
        <f t="shared" ca="1" si="12"/>
        <v>31.792726771878574</v>
      </c>
      <c r="G38" s="231">
        <f t="shared" ca="1" si="13"/>
        <v>8.2533114160774996</v>
      </c>
      <c r="H38" s="230">
        <f t="shared" ca="1" si="14"/>
        <v>24.519445291582699</v>
      </c>
      <c r="I38" s="229">
        <f t="shared" ca="1" si="0"/>
        <v>0.66408677258161553</v>
      </c>
      <c r="J38" s="228">
        <f t="shared" ca="1" si="0"/>
        <v>0.28831789013524389</v>
      </c>
      <c r="K38" s="227">
        <f t="shared" ca="1" si="0"/>
        <v>8.0188491225203877E-4</v>
      </c>
      <c r="L38" s="226">
        <f t="shared" ca="1" si="0"/>
        <v>4.6793452370888534E-2</v>
      </c>
      <c r="M38" s="954">
        <f t="shared" ca="1" si="8"/>
        <v>60.302195203219782</v>
      </c>
      <c r="N38" s="955">
        <f t="shared" ca="1" si="1"/>
        <v>6981.7768657043034</v>
      </c>
      <c r="O38" s="949">
        <f t="shared" ca="1" si="9"/>
        <v>0.33511134250613245</v>
      </c>
      <c r="P38" s="337">
        <f t="shared" ca="1" si="10"/>
        <v>36.767493261387997</v>
      </c>
      <c r="Q38" s="49">
        <f t="shared" ca="1" si="11"/>
        <v>0.93739290701837774</v>
      </c>
      <c r="R38" s="194"/>
      <c r="S38" s="114">
        <f ca="1">E38-E32</f>
        <v>4.4307065555776717</v>
      </c>
      <c r="T38" s="100">
        <f ca="1">H38-H32</f>
        <v>2.9909920369966621</v>
      </c>
      <c r="U38" s="182">
        <f t="shared" ca="1" si="3"/>
        <v>0.93739290701837774</v>
      </c>
      <c r="W38" s="7" t="str">
        <f t="shared" ca="1" si="4"/>
        <v>Bought 4.43070655557767 Shares of State 1 at a cost of 0.93739</v>
      </c>
      <c r="X38" s="7" t="str">
        <f t="shared" ca="1" si="5"/>
        <v>Bought 2.99099203699666 Shares of State 2 at a cost of 0.93739</v>
      </c>
      <c r="Y38" s="185" t="str">
        <f t="shared" ca="1" si="6"/>
        <v>Bought 4.43070655557767 Shares of State 1 at a cost of 0.93739Bought 2.99099203699666 Shares of State 2 at a cost of 0.93739</v>
      </c>
      <c r="Z38" s="960">
        <f t="shared" ca="1" si="2"/>
        <v>2379.7668641570285</v>
      </c>
      <c r="AA38" s="967">
        <f t="shared" ca="1" si="7"/>
        <v>4.7595337283140568E-2</v>
      </c>
      <c r="AE38" s="8"/>
      <c r="AF38" s="8"/>
      <c r="AG38" s="8"/>
      <c r="AH38" s="8"/>
      <c r="AI38" s="8"/>
      <c r="AJ38" s="8"/>
      <c r="AK38" s="8"/>
      <c r="AL38" s="8"/>
      <c r="AM38" s="8"/>
      <c r="AN38" s="8"/>
      <c r="AO38" s="8"/>
      <c r="AP38" s="8"/>
    </row>
    <row r="39" spans="3:42" s="7" customFormat="1" ht="18.75" x14ac:dyDescent="0.3">
      <c r="C39" s="21" t="s">
        <v>479</v>
      </c>
      <c r="D39" s="25">
        <v>11</v>
      </c>
      <c r="E39" s="233">
        <f t="shared" ca="1" si="15"/>
        <v>35.859176237331219</v>
      </c>
      <c r="F39" s="232">
        <f t="shared" ca="1" si="12"/>
        <v>32.165928421314895</v>
      </c>
      <c r="G39" s="231">
        <f t="shared" ca="1" si="13"/>
        <v>8.3075362704707221</v>
      </c>
      <c r="H39" s="230">
        <f t="shared" ca="1" si="14"/>
        <v>25.067166838888454</v>
      </c>
      <c r="I39" s="229">
        <f t="shared" ca="1" si="0"/>
        <v>0.6823324319606815</v>
      </c>
      <c r="J39" s="228">
        <f t="shared" ca="1" si="0"/>
        <v>0.27102336150319128</v>
      </c>
      <c r="K39" s="227">
        <f t="shared" ca="1" si="0"/>
        <v>6.9600877168047974E-4</v>
      </c>
      <c r="L39" s="226">
        <f t="shared" ca="1" si="0"/>
        <v>4.594819776444671E-2</v>
      </c>
      <c r="M39" s="954">
        <f t="shared" ca="1" si="8"/>
        <v>50.950204279502607</v>
      </c>
      <c r="N39" s="955">
        <f t="shared" ca="1" si="1"/>
        <v>7248.0000840785069</v>
      </c>
      <c r="O39" s="949">
        <f t="shared" ca="1" si="9"/>
        <v>0.31697155926763798</v>
      </c>
      <c r="P39" s="337">
        <f t="shared" ca="1" si="10"/>
        <v>37.388129449351027</v>
      </c>
      <c r="Q39" s="49">
        <f t="shared" ca="1" si="11"/>
        <v>0.62063618796302933</v>
      </c>
      <c r="R39" s="194"/>
      <c r="S39" s="114">
        <f ca="1">E39-E31</f>
        <v>5.2345887852429698</v>
      </c>
      <c r="T39" s="100">
        <f ca="1">H39-H31</f>
        <v>4.2552518372519366</v>
      </c>
      <c r="U39" s="182">
        <f t="shared" ca="1" si="3"/>
        <v>0.62063618796302933</v>
      </c>
      <c r="W39" s="7" t="str">
        <f t="shared" ca="1" si="4"/>
        <v>Bought 5.23458878524297 Shares of State 1 at a cost of 0.62064</v>
      </c>
      <c r="X39" s="7" t="str">
        <f t="shared" ca="1" si="5"/>
        <v>Bought 4.25525183725194 Shares of State 2 at a cost of 0.62064</v>
      </c>
      <c r="Y39" s="185" t="str">
        <f t="shared" ca="1" si="6"/>
        <v>Bought 5.23458878524297 Shares of State 1 at a cost of 0.62064Bought 4.25525183725194 Shares of State 2 at a cost of 0.62064</v>
      </c>
      <c r="Z39" s="960">
        <f t="shared" ca="1" si="2"/>
        <v>2332.2103268063597</v>
      </c>
      <c r="AA39" s="967">
        <f t="shared" ca="1" si="7"/>
        <v>4.6644206536127192E-2</v>
      </c>
      <c r="AE39" s="8"/>
      <c r="AF39" s="8"/>
      <c r="AG39" s="8"/>
      <c r="AH39" s="8"/>
      <c r="AI39" s="8"/>
      <c r="AJ39" s="8"/>
      <c r="AK39" s="8"/>
      <c r="AL39" s="8"/>
      <c r="AM39" s="8"/>
      <c r="AN39" s="8"/>
      <c r="AO39" s="8"/>
      <c r="AP39" s="8"/>
    </row>
    <row r="40" spans="3:42" s="7" customFormat="1" ht="18.75" x14ac:dyDescent="0.3">
      <c r="C40" s="21" t="s">
        <v>479</v>
      </c>
      <c r="D40" s="25">
        <v>12</v>
      </c>
      <c r="E40" s="233">
        <f t="shared" ca="1" si="15"/>
        <v>36.328869989951805</v>
      </c>
      <c r="F40" s="232">
        <f t="shared" ca="1" si="12"/>
        <v>32.985862681063352</v>
      </c>
      <c r="G40" s="231">
        <f t="shared" ca="1" si="13"/>
        <v>9.0682630694612971</v>
      </c>
      <c r="H40" s="230">
        <f t="shared" ca="1" si="14"/>
        <v>25.917095734501967</v>
      </c>
      <c r="I40" s="229">
        <f t="shared" ca="1" si="0"/>
        <v>0.66282198859517971</v>
      </c>
      <c r="J40" s="228">
        <f t="shared" ca="1" si="0"/>
        <v>0.28736541620534972</v>
      </c>
      <c r="K40" s="227">
        <f t="shared" ca="1" si="0"/>
        <v>7.2713343974542273E-4</v>
      </c>
      <c r="L40" s="226">
        <f t="shared" ca="1" si="0"/>
        <v>4.908546175972512E-2</v>
      </c>
      <c r="M40" s="954">
        <f t="shared" ca="1" si="8"/>
        <v>54.791229134287889</v>
      </c>
      <c r="N40" s="955">
        <f t="shared" ca="1" si="1"/>
        <v>7294.5955820659829</v>
      </c>
      <c r="O40" s="949">
        <f t="shared" ca="1" si="9"/>
        <v>0.33645087796507483</v>
      </c>
      <c r="P40" s="337">
        <f t="shared" ca="1" si="10"/>
        <v>37.973865264633616</v>
      </c>
      <c r="Q40" s="49">
        <f t="shared" ca="1" si="11"/>
        <v>0.58573581528258956</v>
      </c>
      <c r="R40" s="194"/>
      <c r="S40" s="114">
        <f ca="1">E40-E39</f>
        <v>0.46969375262058577</v>
      </c>
      <c r="T40" s="100">
        <f ca="1">H40-H39</f>
        <v>0.84992889561351248</v>
      </c>
      <c r="U40" s="182">
        <f t="shared" ca="1" si="3"/>
        <v>0.58573581528258956</v>
      </c>
      <c r="W40" s="7" t="str">
        <f t="shared" ca="1" si="4"/>
        <v>Bought 0.469693752620586 Shares of State 1 at a cost of 0.58574</v>
      </c>
      <c r="X40" s="7" t="str">
        <f t="shared" ca="1" si="5"/>
        <v>Bought 0.849928895613512 Shares of State 2 at a cost of 0.58574</v>
      </c>
      <c r="Y40" s="185" t="str">
        <f t="shared" ca="1" si="6"/>
        <v>Bought 0.469693752620586 Shares of State 1 at a cost of 0.58574Bought 0.849928895613512 Shares of State 2 at a cost of 0.58574</v>
      </c>
      <c r="Z40" s="960">
        <f t="shared" ca="1" si="2"/>
        <v>2490.6297599735271</v>
      </c>
      <c r="AA40" s="967">
        <f t="shared" ca="1" si="7"/>
        <v>4.9812595199470545E-2</v>
      </c>
      <c r="AE40" s="8"/>
      <c r="AF40" s="8"/>
      <c r="AG40" s="8"/>
      <c r="AH40" s="8"/>
      <c r="AI40" s="8"/>
      <c r="AJ40" s="8"/>
      <c r="AK40" s="8"/>
      <c r="AL40" s="8"/>
      <c r="AM40" s="8"/>
      <c r="AN40" s="8"/>
      <c r="AO40" s="8"/>
      <c r="AP40" s="8"/>
    </row>
    <row r="41" spans="3:42" s="7" customFormat="1" ht="18.75" x14ac:dyDescent="0.3">
      <c r="C41" s="21" t="s">
        <v>479</v>
      </c>
      <c r="D41" s="25">
        <v>13</v>
      </c>
      <c r="E41" s="233">
        <f t="shared" ca="1" si="15"/>
        <v>37.218807678563572</v>
      </c>
      <c r="F41" s="232">
        <f t="shared" ca="1" si="12"/>
        <v>33.320602575929911</v>
      </c>
      <c r="G41" s="231">
        <f t="shared" ca="1" si="13"/>
        <v>9.7479616986248629</v>
      </c>
      <c r="H41" s="230">
        <f t="shared" ca="1" si="14"/>
        <v>26.541464197864837</v>
      </c>
      <c r="I41" s="229">
        <f t="shared" ca="1" si="0"/>
        <v>0.69075049483825146</v>
      </c>
      <c r="J41" s="228">
        <f t="shared" ca="1" si="0"/>
        <v>0.26066274435253295</v>
      </c>
      <c r="K41" s="227">
        <f t="shared" ca="1" si="0"/>
        <v>7.1897203608703908E-4</v>
      </c>
      <c r="L41" s="226">
        <f t="shared" ca="1" si="0"/>
        <v>4.7867788773128465E-2</v>
      </c>
      <c r="M41" s="954">
        <f t="shared" ca="1" si="8"/>
        <v>51.988704529284632</v>
      </c>
      <c r="N41" s="955">
        <f t="shared" ca="1" si="1"/>
        <v>7757.3827601744024</v>
      </c>
      <c r="O41" s="949">
        <f t="shared" ca="1" si="9"/>
        <v>0.30853053312566142</v>
      </c>
      <c r="P41" s="337">
        <f t="shared" ca="1" si="10"/>
        <v>38.698714073766183</v>
      </c>
      <c r="Q41" s="49">
        <f t="shared" ca="1" si="11"/>
        <v>0.72484880913256688</v>
      </c>
      <c r="R41" s="194"/>
      <c r="S41" s="114">
        <f ca="1">E41-E40</f>
        <v>0.88993768861176648</v>
      </c>
      <c r="T41" s="100">
        <f ca="1">H41-H40</f>
        <v>0.62436846336287033</v>
      </c>
      <c r="U41" s="182">
        <f t="shared" ca="1" si="3"/>
        <v>0.72484880913256688</v>
      </c>
      <c r="W41" s="7" t="str">
        <f t="shared" ca="1" si="4"/>
        <v>Bought 0.889937688611766 Shares of State 1 at a cost of 0.72485</v>
      </c>
      <c r="X41" s="7" t="str">
        <f t="shared" ca="1" si="5"/>
        <v>Bought 0.62436846336287 Shares of State 2 at a cost of 0.72485</v>
      </c>
      <c r="Y41" s="185" t="str">
        <f t="shared" ca="1" si="6"/>
        <v>Bought 0.889937688611766 Shares of State 1 at a cost of 0.72485Bought 0.62436846336287 Shares of State 2 at a cost of 0.72485</v>
      </c>
      <c r="Z41" s="960">
        <f t="shared" ca="1" si="2"/>
        <v>2429.3380404607756</v>
      </c>
      <c r="AA41" s="967">
        <f t="shared" ca="1" si="7"/>
        <v>4.8586760809215514E-2</v>
      </c>
      <c r="AE41" s="8"/>
      <c r="AF41" s="8"/>
      <c r="AG41" s="8"/>
      <c r="AH41" s="8"/>
      <c r="AI41" s="8"/>
      <c r="AJ41" s="8"/>
      <c r="AK41" s="8"/>
      <c r="AL41" s="8"/>
      <c r="AM41" s="8"/>
      <c r="AN41" s="8"/>
      <c r="AO41" s="8"/>
      <c r="AP41" s="8"/>
    </row>
    <row r="42" spans="3:42" s="7" customFormat="1" ht="18.75" x14ac:dyDescent="0.3">
      <c r="C42" s="21" t="s">
        <v>479</v>
      </c>
      <c r="D42" s="25">
        <v>14</v>
      </c>
      <c r="E42" s="233">
        <f t="shared" ca="1" si="15"/>
        <v>38.050206592591721</v>
      </c>
      <c r="F42" s="232">
        <f t="shared" ca="1" si="12"/>
        <v>33.623526055579774</v>
      </c>
      <c r="G42" s="231">
        <f t="shared" ca="1" si="13"/>
        <v>9.8155098114891786</v>
      </c>
      <c r="H42" s="230">
        <f t="shared" ca="1" si="14"/>
        <v>27.153416226426273</v>
      </c>
      <c r="I42" s="229">
        <f t="shared" ca="1" si="0"/>
        <v>0.715759712336419</v>
      </c>
      <c r="J42" s="228">
        <f t="shared" ca="1" si="0"/>
        <v>0.23667180184933251</v>
      </c>
      <c r="K42" s="227">
        <f t="shared" ca="1" si="0"/>
        <v>6.154942459769895E-4</v>
      </c>
      <c r="L42" s="226">
        <f t="shared" ca="1" si="0"/>
        <v>4.6952991568271644E-2</v>
      </c>
      <c r="M42" s="954">
        <f t="shared" ca="1" si="8"/>
        <v>42.958929923979483</v>
      </c>
      <c r="N42" s="955">
        <f t="shared" ca="1" si="1"/>
        <v>8277.307319028856</v>
      </c>
      <c r="O42" s="949">
        <f t="shared" ca="1" si="9"/>
        <v>0.28362479341760416</v>
      </c>
      <c r="P42" s="337">
        <f t="shared" ca="1" si="10"/>
        <v>39.387849655161205</v>
      </c>
      <c r="Q42" s="49">
        <f t="shared" ca="1" si="11"/>
        <v>0.68913558139502129</v>
      </c>
      <c r="R42" s="194"/>
      <c r="S42" s="114">
        <f ca="1">E42-E39</f>
        <v>2.1910303552605015</v>
      </c>
      <c r="T42" s="100">
        <f ca="1">H42-H39</f>
        <v>2.0862493875378192</v>
      </c>
      <c r="U42" s="182">
        <f t="shared" ca="1" si="3"/>
        <v>0.68913558139502129</v>
      </c>
      <c r="W42" s="7" t="str">
        <f t="shared" ca="1" si="4"/>
        <v>Bought 2.1910303552605 Shares of State 1 at a cost of 0.68914</v>
      </c>
      <c r="X42" s="7" t="str">
        <f t="shared" ca="1" si="5"/>
        <v>Bought 2.08624938753782 Shares of State 2 at a cost of 0.68914</v>
      </c>
      <c r="Y42" s="185" t="str">
        <f t="shared" ca="1" si="6"/>
        <v>Bought 2.1910303552605 Shares of State 1 at a cost of 0.68914Bought 2.08624938753782 Shares of State 2 at a cost of 0.68914</v>
      </c>
      <c r="Z42" s="960">
        <f t="shared" ca="1" si="2"/>
        <v>2378.4242907124317</v>
      </c>
      <c r="AA42" s="967">
        <f t="shared" ca="1" si="7"/>
        <v>4.7568485814248634E-2</v>
      </c>
    </row>
    <row r="43" spans="3:42" s="7" customFormat="1" ht="18.75" x14ac:dyDescent="0.3">
      <c r="C43" s="21" t="s">
        <v>475</v>
      </c>
      <c r="D43" s="25">
        <v>15</v>
      </c>
      <c r="E43" s="233">
        <v>0</v>
      </c>
      <c r="F43" s="232">
        <f ca="1">F42+0.1</f>
        <v>33.723526055579775</v>
      </c>
      <c r="G43" s="231">
        <v>0</v>
      </c>
      <c r="H43" s="230">
        <f ca="1">H42-0.05</f>
        <v>27.103416226426273</v>
      </c>
      <c r="I43" s="229">
        <f t="shared" ca="1" si="0"/>
        <v>1.8298365550033338E-4</v>
      </c>
      <c r="J43" s="228">
        <f t="shared" ca="1" si="0"/>
        <v>0.83926211356973002</v>
      </c>
      <c r="K43" s="227">
        <f t="shared" ca="1" si="0"/>
        <v>1.8298365550033338E-4</v>
      </c>
      <c r="L43" s="226">
        <f t="shared" ca="1" si="0"/>
        <v>0.16037191911926926</v>
      </c>
      <c r="M43" s="954">
        <f t="shared" ca="1" si="8"/>
        <v>0</v>
      </c>
      <c r="N43" s="955">
        <f t="shared" ca="1" si="1"/>
        <v>8021.5315743038182</v>
      </c>
      <c r="O43" s="949">
        <f t="shared" ca="1" si="9"/>
        <v>0.99963403268899931</v>
      </c>
      <c r="P43" s="337">
        <f t="shared" ca="1" si="10"/>
        <v>34.424454893269733</v>
      </c>
      <c r="Q43" s="49">
        <f t="shared" ca="1" si="11"/>
        <v>-4.9633947618914718</v>
      </c>
      <c r="R43" s="194"/>
      <c r="S43" s="114">
        <f ca="1">E43-E42</f>
        <v>-38.050206592591721</v>
      </c>
      <c r="T43" s="100">
        <f ca="1">H43-H42</f>
        <v>-5.0000000000000711E-2</v>
      </c>
      <c r="U43" s="182">
        <f t="shared" ca="1" si="3"/>
        <v>-4.9633947618914718</v>
      </c>
      <c r="W43" s="7" t="str">
        <f t="shared" ca="1" si="4"/>
        <v>Sold 38.0502065925917 Shares of State 1 at a cost of -4.96339</v>
      </c>
      <c r="X43" s="7" t="str">
        <f t="shared" ca="1" si="5"/>
        <v>Sold 0.0500000000000007 Shares of State 2 at a cost of -4.96339</v>
      </c>
      <c r="Y43" s="185" t="str">
        <f t="shared" ca="1" si="6"/>
        <v>Sold 38.0502065925917 Shares of State 1 at a cost of -4.96339Sold 0.0500000000000007 Shares of State 2 at a cost of -4.96339</v>
      </c>
      <c r="Z43" s="960">
        <f t="shared" ca="1" si="2"/>
        <v>8018.595955963463</v>
      </c>
      <c r="AA43" s="967">
        <f t="shared" ca="1" si="7"/>
        <v>0.16037191911926926</v>
      </c>
    </row>
    <row r="44" spans="3:42" s="7" customFormat="1" ht="18.75" x14ac:dyDescent="0.3">
      <c r="C44" s="21" t="s">
        <v>479</v>
      </c>
      <c r="D44" s="25">
        <v>16</v>
      </c>
      <c r="E44" s="233">
        <v>0</v>
      </c>
      <c r="F44" s="232">
        <f ca="1">F43+0.1</f>
        <v>33.823526055579777</v>
      </c>
      <c r="G44" s="231">
        <v>0</v>
      </c>
      <c r="H44" s="230">
        <f ca="1">H43-0.05</f>
        <v>27.053416226426272</v>
      </c>
      <c r="I44" s="229">
        <f t="shared" ca="1" si="0"/>
        <v>1.7952706833077259E-4</v>
      </c>
      <c r="J44" s="228">
        <f t="shared" ca="1" si="0"/>
        <v>0.84425301457446167</v>
      </c>
      <c r="K44" s="227">
        <f t="shared" ca="1" si="0"/>
        <v>1.7952706833077259E-4</v>
      </c>
      <c r="L44" s="226">
        <f t="shared" ca="1" si="0"/>
        <v>0.15538793128887676</v>
      </c>
      <c r="M44" s="954">
        <f t="shared" ca="1" si="8"/>
        <v>0</v>
      </c>
      <c r="N44" s="955">
        <f t="shared" ca="1" si="1"/>
        <v>7772.1872004090528</v>
      </c>
      <c r="O44" s="949">
        <f t="shared" ca="1" si="9"/>
        <v>0.9996409458633384</v>
      </c>
      <c r="P44" s="337">
        <f t="shared" ca="1" si="10"/>
        <v>34.500738251619062</v>
      </c>
      <c r="Q44" s="49">
        <f t="shared" ca="1" si="11"/>
        <v>7.6283358349328978E-2</v>
      </c>
      <c r="R44" s="194"/>
      <c r="S44" s="114">
        <f ca="1">E44-E39</f>
        <v>-35.859176237331219</v>
      </c>
      <c r="T44" s="100">
        <f ca="1">H44-H39</f>
        <v>1.9862493875378178</v>
      </c>
      <c r="U44" s="182">
        <f t="shared" ca="1" si="3"/>
        <v>7.6283358349328978E-2</v>
      </c>
      <c r="W44" s="7" t="str">
        <f t="shared" ca="1" si="4"/>
        <v>Sold 35.8591762373312 Shares of State 1 at a cost of 0.07628</v>
      </c>
      <c r="X44" s="7" t="str">
        <f t="shared" ca="1" si="5"/>
        <v>Bought 1.98624938753782 Shares of State 2 at a cost of 0.07628</v>
      </c>
      <c r="Y44" s="185" t="str">
        <f t="shared" ca="1" si="6"/>
        <v>Sold 35.8591762373312 Shares of State 1 at a cost of 0.07628Bought 1.98624938753782 Shares of State 2 at a cost of 0.07628</v>
      </c>
      <c r="Z44" s="960">
        <f t="shared" ca="1" si="2"/>
        <v>7769.3965644438376</v>
      </c>
      <c r="AA44" s="967">
        <f t="shared" ca="1" si="7"/>
        <v>0.15538793128887676</v>
      </c>
      <c r="AH44" s="189"/>
      <c r="AI44" s="189"/>
      <c r="AJ44" s="189"/>
      <c r="AK44" s="189"/>
      <c r="AL44" s="189"/>
      <c r="AM44" s="189"/>
      <c r="AN44" s="189"/>
    </row>
    <row r="45" spans="3:42" s="7" customFormat="1" ht="18.75" x14ac:dyDescent="0.3">
      <c r="C45" s="21" t="s">
        <v>479</v>
      </c>
      <c r="D45" s="25">
        <v>17</v>
      </c>
      <c r="E45" s="233">
        <v>0</v>
      </c>
      <c r="F45" s="232">
        <f ca="1">F44+0.1</f>
        <v>33.923526055579778</v>
      </c>
      <c r="G45" s="231">
        <v>0</v>
      </c>
      <c r="H45" s="230">
        <f ca="1">H44+0.5</f>
        <v>27.553416226426272</v>
      </c>
      <c r="I45" s="229">
        <f t="shared" ca="1" si="0"/>
        <v>1.7228059678754841E-4</v>
      </c>
      <c r="J45" s="228">
        <f t="shared" ca="1" si="0"/>
        <v>0.83068508101415439</v>
      </c>
      <c r="K45" s="227">
        <f t="shared" ca="1" si="0"/>
        <v>1.7228059678754841E-4</v>
      </c>
      <c r="L45" s="226">
        <f t="shared" ca="1" si="0"/>
        <v>0.16897035779227054</v>
      </c>
      <c r="M45" s="954">
        <f t="shared" ca="1" si="8"/>
        <v>0</v>
      </c>
      <c r="N45" s="955">
        <f t="shared" ca="1" si="1"/>
        <v>8451.4299243956921</v>
      </c>
      <c r="O45" s="949">
        <f t="shared" ca="1" si="9"/>
        <v>0.99965543880642493</v>
      </c>
      <c r="P45" s="337">
        <f t="shared" ca="1" si="10"/>
        <v>34.665544134913901</v>
      </c>
      <c r="Q45" s="49">
        <f t="shared" ca="1" si="11"/>
        <v>0.16480588329483936</v>
      </c>
      <c r="R45" s="194"/>
      <c r="S45" s="114">
        <f>E45-E44</f>
        <v>0</v>
      </c>
      <c r="T45" s="100">
        <f ca="1">H45-H44</f>
        <v>0.5</v>
      </c>
      <c r="U45" s="182">
        <f t="shared" ca="1" si="3"/>
        <v>0.16480588329483936</v>
      </c>
      <c r="W45" s="7" t="str">
        <f t="shared" si="4"/>
        <v/>
      </c>
      <c r="X45" s="7" t="str">
        <f t="shared" ca="1" si="5"/>
        <v>Bought 0.5 Shares of State 2 at a cost of 0.16481</v>
      </c>
      <c r="Y45" s="185" t="str">
        <f t="shared" ca="1" si="6"/>
        <v>Bought 0.5 Shares of State 2 at a cost of 0.16481</v>
      </c>
      <c r="Z45" s="960">
        <f t="shared" ca="1" si="2"/>
        <v>8448.5178896135258</v>
      </c>
      <c r="AA45" s="967">
        <f t="shared" ca="1" si="7"/>
        <v>0.16897035779227051</v>
      </c>
    </row>
    <row r="46" spans="3:42" s="7" customFormat="1" ht="19.5" thickBot="1" x14ac:dyDescent="0.35">
      <c r="C46" s="21" t="s">
        <v>479</v>
      </c>
      <c r="D46" s="25">
        <v>18</v>
      </c>
      <c r="E46" s="225">
        <v>0</v>
      </c>
      <c r="F46" s="224">
        <f ca="1">F45+0.1</f>
        <v>34.023526055579779</v>
      </c>
      <c r="G46" s="223">
        <v>0</v>
      </c>
      <c r="H46" s="222">
        <f ca="1">H45-0.05</f>
        <v>27.503416226426271</v>
      </c>
      <c r="I46" s="221">
        <f t="shared" ca="1" si="0"/>
        <v>1.6907992904122195E-4</v>
      </c>
      <c r="J46" s="220">
        <f t="shared" ca="1" si="0"/>
        <v>0.83589063983682732</v>
      </c>
      <c r="K46" s="219">
        <f t="shared" ca="1" si="0"/>
        <v>1.6907992904122195E-4</v>
      </c>
      <c r="L46" s="218">
        <f t="shared" ca="1" si="0"/>
        <v>0.16377120030509038</v>
      </c>
      <c r="M46" s="956">
        <f t="shared" ca="1" si="8"/>
        <v>0</v>
      </c>
      <c r="N46" s="957">
        <f t="shared" ca="1" si="1"/>
        <v>8191.3299942428766</v>
      </c>
      <c r="O46" s="950">
        <f t="shared" ca="1" si="9"/>
        <v>0.99966184014191772</v>
      </c>
      <c r="P46" s="338">
        <f t="shared" ca="1" si="10"/>
        <v>34.740556007766145</v>
      </c>
      <c r="Q46" s="942">
        <f t="shared" ca="1" si="11"/>
        <v>7.5011872852243755E-2</v>
      </c>
      <c r="R46" s="194"/>
      <c r="S46" s="119">
        <f>E46-E45</f>
        <v>0</v>
      </c>
      <c r="T46" s="102">
        <f ca="1">H46-H45</f>
        <v>-5.0000000000000711E-2</v>
      </c>
      <c r="U46" s="182">
        <f t="shared" ca="1" si="3"/>
        <v>7.5011872852243755E-2</v>
      </c>
      <c r="W46" s="7" t="str">
        <f t="shared" si="4"/>
        <v/>
      </c>
      <c r="X46" s="7" t="str">
        <f t="shared" ca="1" si="5"/>
        <v>Sold 0.0500000000000007 Shares of State 2 at a cost of 0.07501</v>
      </c>
      <c r="Y46" s="185" t="str">
        <f t="shared" ca="1" si="6"/>
        <v>Sold 0.0500000000000007 Shares of State 2 at a cost of 0.07501</v>
      </c>
      <c r="Z46" s="960">
        <f t="shared" ca="1" si="2"/>
        <v>8188.5600152545185</v>
      </c>
      <c r="AA46" s="967">
        <f t="shared" ca="1" si="7"/>
        <v>0.16377120030509038</v>
      </c>
    </row>
    <row r="47" spans="3:42" s="7" customFormat="1" ht="16.5" thickTop="1" thickBot="1" x14ac:dyDescent="0.3">
      <c r="D47" s="25" t="s">
        <v>97</v>
      </c>
      <c r="E47" s="215">
        <f>E46</f>
        <v>0</v>
      </c>
      <c r="F47" s="214">
        <f ca="1">F46</f>
        <v>34.023526055579779</v>
      </c>
      <c r="G47" s="213">
        <f>G46</f>
        <v>0</v>
      </c>
      <c r="H47" s="212">
        <f ca="1">H46</f>
        <v>27.503416226426271</v>
      </c>
      <c r="I47" s="429">
        <f>F51*F50</f>
        <v>0</v>
      </c>
      <c r="J47" s="429">
        <f>F50*E51</f>
        <v>0.82000000000000006</v>
      </c>
      <c r="K47" s="429">
        <f>E50*F51</f>
        <v>0</v>
      </c>
      <c r="L47" s="429">
        <f>E50*E51</f>
        <v>0.18</v>
      </c>
      <c r="M47" s="958">
        <f t="shared" si="8"/>
        <v>0</v>
      </c>
      <c r="N47" s="959">
        <f t="shared" si="1"/>
        <v>9000</v>
      </c>
      <c r="O47" s="951">
        <f t="shared" si="9"/>
        <v>1</v>
      </c>
      <c r="P47" s="945">
        <f t="shared" ca="1" si="10"/>
        <v>34.740556007766145</v>
      </c>
      <c r="Q47" s="8" t="s">
        <v>471</v>
      </c>
      <c r="X47" s="8"/>
      <c r="Y47" s="8"/>
      <c r="Z47" s="976">
        <f t="shared" si="2"/>
        <v>9000</v>
      </c>
      <c r="AA47" s="967">
        <f t="shared" si="7"/>
        <v>0.18</v>
      </c>
      <c r="AB47" s="940" t="s">
        <v>469</v>
      </c>
      <c r="AC47" s="941">
        <f>(Z47-Z23)/Z23</f>
        <v>-0.67626708062331209</v>
      </c>
    </row>
    <row r="48" spans="3:42" s="7" customFormat="1" ht="15.75" thickBot="1" x14ac:dyDescent="0.3">
      <c r="C48"/>
      <c r="D48"/>
      <c r="E48" s="33"/>
      <c r="F48" s="33"/>
      <c r="G48" s="33"/>
      <c r="H48" s="33"/>
      <c r="I48" s="33"/>
      <c r="J48" s="33"/>
      <c r="K48" s="33"/>
      <c r="L48" s="33"/>
      <c r="M48" s="33"/>
      <c r="N48" s="33"/>
      <c r="O48" s="33"/>
      <c r="P48" s="244">
        <f ca="1">SUMPRODUCT(E47:H47,I47:L47)</f>
        <v>32.84990628633215</v>
      </c>
      <c r="Q48" t="s">
        <v>109</v>
      </c>
      <c r="X48"/>
      <c r="Y48"/>
      <c r="Z48"/>
      <c r="AA48"/>
      <c r="AB48"/>
      <c r="AC48" s="966">
        <f>(AA47-AA23)/AA23</f>
        <v>-0.67626708062331209</v>
      </c>
    </row>
    <row r="49" spans="2:40" s="7" customFormat="1" ht="15.75" thickBot="1" x14ac:dyDescent="0.3">
      <c r="C49" s="1"/>
      <c r="D49" s="150" t="s">
        <v>170</v>
      </c>
      <c r="E49" s="287" t="s">
        <v>150</v>
      </c>
      <c r="F49" s="237" t="s">
        <v>167</v>
      </c>
      <c r="G49" s="140"/>
      <c r="H49" s="17"/>
      <c r="I49" s="464">
        <f>F50*F51</f>
        <v>0</v>
      </c>
      <c r="J49" s="464">
        <f>F50*E51</f>
        <v>0.82000000000000006</v>
      </c>
      <c r="K49" s="464">
        <f>E50*F51</f>
        <v>0</v>
      </c>
      <c r="L49" s="464">
        <f>E50*E51</f>
        <v>0.18</v>
      </c>
      <c r="M49" s="17"/>
      <c r="N49" s="17"/>
      <c r="O49" s="17"/>
      <c r="P49" s="244">
        <f ca="1">P47-P48</f>
        <v>1.890649721433995</v>
      </c>
      <c r="Q49" s="7" t="s">
        <v>102</v>
      </c>
    </row>
    <row r="50" spans="2:40" s="7" customFormat="1" ht="15.75" thickBot="1" x14ac:dyDescent="0.3">
      <c r="C50" s="5" t="s">
        <v>168</v>
      </c>
      <c r="D50" s="939">
        <v>9000</v>
      </c>
      <c r="E50" s="506">
        <f>($D$50-$E$5)/($E$6-$E$5)</f>
        <v>0.18</v>
      </c>
      <c r="F50" s="507">
        <f>1-E50</f>
        <v>0.82000000000000006</v>
      </c>
      <c r="H50" s="33"/>
      <c r="J50" s="33"/>
      <c r="K50" s="33"/>
      <c r="L50" s="33"/>
      <c r="M50" s="17"/>
      <c r="N50" s="17"/>
      <c r="O50" s="17"/>
      <c r="P50" s="246">
        <f ca="1">P22-P49</f>
        <v>3.6545277230455673</v>
      </c>
      <c r="Q50" s="54" t="s">
        <v>103</v>
      </c>
      <c r="V50" s="8"/>
      <c r="W50" s="8"/>
      <c r="X50" s="8"/>
      <c r="Y50" s="28"/>
      <c r="Z50" s="28"/>
      <c r="AA50" s="28"/>
      <c r="AB50" s="28"/>
    </row>
    <row r="51" spans="2:40" ht="15.75" thickBot="1" x14ac:dyDescent="0.3">
      <c r="C51" s="288" t="s">
        <v>169</v>
      </c>
      <c r="D51" s="463">
        <v>1</v>
      </c>
      <c r="E51" s="936">
        <f>D51</f>
        <v>1</v>
      </c>
      <c r="F51" s="938">
        <f>1-E51</f>
        <v>0</v>
      </c>
      <c r="G51" s="17"/>
      <c r="Q51" s="188"/>
    </row>
    <row r="52" spans="2:40" x14ac:dyDescent="0.25">
      <c r="C52" s="17"/>
      <c r="D52" s="207"/>
      <c r="E52" s="17"/>
      <c r="F52" s="7"/>
      <c r="G52" s="17"/>
    </row>
    <row r="53" spans="2:40" x14ac:dyDescent="0.25">
      <c r="G53" s="188"/>
      <c r="H53" s="188"/>
      <c r="M53" s="188"/>
    </row>
    <row r="54" spans="2:40" x14ac:dyDescent="0.25">
      <c r="G54" s="188"/>
      <c r="H54" s="188"/>
      <c r="M54" s="188"/>
    </row>
    <row r="55" spans="2:40" x14ac:dyDescent="0.25">
      <c r="G55" s="188"/>
      <c r="H55" s="188"/>
      <c r="M55" s="188"/>
    </row>
    <row r="56" spans="2:40" x14ac:dyDescent="0.25">
      <c r="G56" s="188"/>
      <c r="H56" s="188"/>
      <c r="M56" s="188"/>
    </row>
    <row r="57" spans="2:40" x14ac:dyDescent="0.25">
      <c r="G57" s="188"/>
      <c r="H57" s="188"/>
      <c r="M57" s="188"/>
      <c r="AE57" s="7"/>
      <c r="AF57" s="7"/>
      <c r="AG57" s="7"/>
      <c r="AH57" s="7"/>
      <c r="AI57" s="7"/>
      <c r="AJ57" s="7"/>
      <c r="AK57" s="7"/>
      <c r="AL57" s="7"/>
      <c r="AM57" s="7"/>
      <c r="AN57" s="7"/>
    </row>
    <row r="58" spans="2:40" x14ac:dyDescent="0.25">
      <c r="G58" s="188"/>
      <c r="H58" s="188"/>
      <c r="AE58" s="7"/>
      <c r="AF58" s="7"/>
      <c r="AG58" s="7"/>
      <c r="AH58" s="7"/>
      <c r="AI58" s="7"/>
      <c r="AJ58" s="7"/>
      <c r="AK58" s="7"/>
      <c r="AL58" s="7"/>
      <c r="AM58" s="7"/>
      <c r="AN58" s="7"/>
    </row>
    <row r="59" spans="2:40" x14ac:dyDescent="0.25">
      <c r="G59" s="188"/>
      <c r="H59" s="188"/>
      <c r="AE59" s="7"/>
      <c r="AF59" s="7"/>
      <c r="AG59" s="7"/>
      <c r="AH59" s="7"/>
      <c r="AI59" s="7"/>
      <c r="AJ59" s="7"/>
      <c r="AK59" s="7"/>
      <c r="AL59" s="7"/>
      <c r="AM59" s="7"/>
      <c r="AN59" s="7"/>
    </row>
    <row r="60" spans="2:40" x14ac:dyDescent="0.25">
      <c r="G60" s="188"/>
      <c r="H60" s="188"/>
      <c r="AE60" s="7"/>
      <c r="AF60" s="7"/>
      <c r="AG60" s="7"/>
      <c r="AH60" s="7"/>
      <c r="AI60" s="7"/>
      <c r="AJ60" s="7"/>
      <c r="AK60" s="7"/>
      <c r="AL60" s="7"/>
      <c r="AM60" s="7"/>
      <c r="AN60" s="7"/>
    </row>
    <row r="61" spans="2:40" x14ac:dyDescent="0.25">
      <c r="G61" s="188"/>
      <c r="H61" s="188"/>
      <c r="AE61" s="7"/>
      <c r="AF61" s="7"/>
      <c r="AG61" s="189"/>
      <c r="AH61" s="189"/>
      <c r="AI61" s="189"/>
      <c r="AJ61" s="189"/>
      <c r="AK61" s="189"/>
      <c r="AL61" s="189"/>
      <c r="AM61" s="189"/>
      <c r="AN61" s="189"/>
    </row>
    <row r="62" spans="2:40" s="33" customFormat="1" x14ac:dyDescent="0.25">
      <c r="B62"/>
      <c r="C62"/>
      <c r="D62"/>
      <c r="G62" s="188"/>
      <c r="H62" s="188"/>
      <c r="S62"/>
      <c r="T62"/>
      <c r="U62"/>
      <c r="V62"/>
      <c r="W62"/>
      <c r="X62"/>
      <c r="Y62"/>
      <c r="Z62"/>
      <c r="AA62"/>
      <c r="AB62"/>
      <c r="AC62"/>
      <c r="AD62"/>
      <c r="AE62" s="7"/>
      <c r="AF62" s="21"/>
      <c r="AG62" s="7"/>
      <c r="AH62" s="7"/>
      <c r="AI62" s="7"/>
      <c r="AJ62" s="7"/>
      <c r="AK62" s="7"/>
      <c r="AL62" s="7"/>
      <c r="AM62" s="7"/>
      <c r="AN62" s="7"/>
    </row>
    <row r="63" spans="2:40" s="33" customFormat="1" x14ac:dyDescent="0.25">
      <c r="B63"/>
      <c r="C63"/>
      <c r="D63"/>
      <c r="G63" s="188"/>
      <c r="H63" s="188"/>
      <c r="S63"/>
      <c r="T63"/>
      <c r="U63"/>
      <c r="V63"/>
      <c r="W63"/>
      <c r="X63"/>
      <c r="Y63"/>
      <c r="Z63"/>
      <c r="AA63"/>
      <c r="AB63"/>
      <c r="AC63"/>
      <c r="AD63"/>
      <c r="AE63" s="7"/>
      <c r="AF63" s="21"/>
      <c r="AG63" s="7"/>
      <c r="AH63" s="7"/>
      <c r="AI63" s="7"/>
      <c r="AJ63" s="7"/>
      <c r="AK63" s="7"/>
      <c r="AL63" s="7"/>
      <c r="AM63" s="7"/>
      <c r="AN63" s="7"/>
    </row>
    <row r="64" spans="2:40" x14ac:dyDescent="0.25">
      <c r="AE64" s="7"/>
      <c r="AF64" s="7"/>
      <c r="AG64" s="7"/>
      <c r="AH64" s="7"/>
      <c r="AI64" s="7"/>
      <c r="AJ64" s="7"/>
      <c r="AK64" s="7"/>
      <c r="AL64" s="7"/>
      <c r="AM64" s="7"/>
      <c r="AN64" s="7"/>
    </row>
    <row r="65" spans="2:40" s="33" customFormat="1" x14ac:dyDescent="0.25">
      <c r="B65"/>
      <c r="C65"/>
      <c r="D65"/>
      <c r="G65" s="188"/>
      <c r="H65" s="188"/>
      <c r="S65"/>
      <c r="T65"/>
      <c r="U65"/>
      <c r="V65"/>
      <c r="W65"/>
      <c r="X65"/>
      <c r="Y65"/>
      <c r="Z65"/>
      <c r="AA65"/>
      <c r="AB65"/>
      <c r="AC65"/>
      <c r="AD65"/>
      <c r="AE65" s="7"/>
      <c r="AF65" s="7"/>
      <c r="AG65" s="7"/>
      <c r="AH65" s="7"/>
      <c r="AI65" s="7"/>
      <c r="AJ65" s="7"/>
      <c r="AK65" s="7"/>
      <c r="AL65" s="7"/>
      <c r="AM65" s="7"/>
      <c r="AN65" s="7"/>
    </row>
    <row r="66" spans="2:40" s="33" customFormat="1" x14ac:dyDescent="0.25">
      <c r="B66"/>
      <c r="C66"/>
      <c r="D66"/>
      <c r="G66" s="188"/>
      <c r="H66" s="188"/>
      <c r="S66"/>
      <c r="T66"/>
      <c r="U66"/>
      <c r="V66"/>
      <c r="W66"/>
      <c r="X66"/>
      <c r="Y66"/>
      <c r="Z66"/>
      <c r="AA66"/>
      <c r="AB66"/>
      <c r="AC66"/>
      <c r="AD66"/>
      <c r="AE66" s="7"/>
      <c r="AF66" s="7"/>
      <c r="AG66" s="7"/>
      <c r="AH66" s="7"/>
      <c r="AI66" s="7"/>
      <c r="AJ66" s="7"/>
      <c r="AK66" s="7"/>
      <c r="AL66" s="7"/>
      <c r="AM66" s="7"/>
      <c r="AN66" s="7"/>
    </row>
    <row r="67" spans="2:40" s="33" customFormat="1" x14ac:dyDescent="0.25">
      <c r="B67"/>
      <c r="C67"/>
      <c r="D67"/>
      <c r="G67" s="188"/>
      <c r="H67" s="188"/>
      <c r="S67"/>
      <c r="T67"/>
      <c r="U67"/>
      <c r="V67"/>
      <c r="W67"/>
      <c r="X67"/>
      <c r="Y67"/>
      <c r="Z67"/>
      <c r="AA67"/>
      <c r="AB67"/>
      <c r="AC67"/>
      <c r="AD67"/>
      <c r="AE67" s="7"/>
      <c r="AF67" s="7"/>
      <c r="AG67" s="7"/>
      <c r="AH67" s="7"/>
      <c r="AI67" s="7"/>
      <c r="AJ67" s="7"/>
      <c r="AK67" s="7"/>
      <c r="AL67" s="7"/>
      <c r="AM67" s="7"/>
      <c r="AN67" s="7"/>
    </row>
    <row r="68" spans="2:40" s="33" customFormat="1" x14ac:dyDescent="0.25">
      <c r="B68"/>
      <c r="C68"/>
      <c r="D68"/>
      <c r="G68" s="188"/>
      <c r="H68" s="188"/>
      <c r="S68"/>
      <c r="T68"/>
      <c r="U68"/>
      <c r="V68"/>
      <c r="W68"/>
      <c r="X68"/>
      <c r="Y68"/>
      <c r="Z68"/>
      <c r="AA68"/>
      <c r="AB68"/>
      <c r="AC68"/>
      <c r="AD68"/>
      <c r="AE68" s="7"/>
      <c r="AF68" s="7"/>
      <c r="AG68" s="7"/>
      <c r="AH68" s="7"/>
      <c r="AI68" s="7"/>
      <c r="AJ68" s="7"/>
      <c r="AK68" s="7"/>
      <c r="AL68" s="7"/>
      <c r="AM68" s="7"/>
      <c r="AN68" s="7"/>
    </row>
    <row r="69" spans="2:40" x14ac:dyDescent="0.25">
      <c r="AE69" s="7"/>
      <c r="AF69" s="7"/>
      <c r="AG69" s="7"/>
      <c r="AH69" s="7"/>
      <c r="AI69" s="7"/>
      <c r="AJ69" s="7"/>
      <c r="AK69" s="7"/>
      <c r="AL69" s="7"/>
      <c r="AM69" s="7"/>
      <c r="AN69" s="7"/>
    </row>
    <row r="70" spans="2:40" x14ac:dyDescent="0.25">
      <c r="AE70" s="7"/>
      <c r="AF70" s="7"/>
      <c r="AG70" s="7"/>
      <c r="AH70" s="7"/>
      <c r="AI70" s="7"/>
      <c r="AJ70" s="7"/>
      <c r="AK70" s="7"/>
      <c r="AL70" s="7"/>
      <c r="AM70" s="7"/>
      <c r="AN70" s="7"/>
    </row>
    <row r="71" spans="2:40" x14ac:dyDescent="0.25">
      <c r="AE71" s="7"/>
      <c r="AF71" s="7"/>
      <c r="AG71" s="7"/>
      <c r="AH71" s="7"/>
      <c r="AI71" s="7"/>
      <c r="AJ71" s="7"/>
      <c r="AK71" s="7"/>
      <c r="AL71" s="7"/>
      <c r="AM71" s="7"/>
      <c r="AN71" s="7"/>
    </row>
    <row r="72" spans="2:40" x14ac:dyDescent="0.25">
      <c r="AE72" s="7"/>
      <c r="AF72" s="7"/>
      <c r="AG72" s="7"/>
      <c r="AH72" s="7"/>
      <c r="AI72" s="7"/>
      <c r="AJ72" s="7"/>
      <c r="AK72" s="7"/>
      <c r="AL72" s="7"/>
      <c r="AM72" s="7"/>
      <c r="AN72" s="7"/>
    </row>
    <row r="73" spans="2:40" x14ac:dyDescent="0.25">
      <c r="AE73" s="7"/>
      <c r="AF73" s="7"/>
      <c r="AG73" s="7"/>
      <c r="AH73" s="7"/>
      <c r="AI73" s="7"/>
      <c r="AJ73" s="7"/>
      <c r="AK73" s="7"/>
      <c r="AL73" s="7"/>
      <c r="AM73" s="7"/>
      <c r="AN73" s="7"/>
    </row>
    <row r="74" spans="2:40" x14ac:dyDescent="0.25">
      <c r="AE74" s="7"/>
      <c r="AF74" s="7"/>
      <c r="AG74" s="7"/>
      <c r="AH74" s="7"/>
      <c r="AI74" s="7"/>
      <c r="AJ74" s="7"/>
      <c r="AK74" s="7"/>
      <c r="AL74" s="7"/>
      <c r="AM74" s="7"/>
      <c r="AN74" s="7"/>
    </row>
  </sheetData>
  <mergeCells count="13">
    <mergeCell ref="C4:C7"/>
    <mergeCell ref="C9:C11"/>
    <mergeCell ref="C13:C17"/>
    <mergeCell ref="S20:T20"/>
    <mergeCell ref="E9:J9"/>
    <mergeCell ref="E4:J4"/>
    <mergeCell ref="AB26:AC26"/>
    <mergeCell ref="M20:N20"/>
    <mergeCell ref="Z20:Z21"/>
    <mergeCell ref="AF21:AN21"/>
    <mergeCell ref="AB22:AC23"/>
    <mergeCell ref="AF23:AI23"/>
    <mergeCell ref="AK23:AN2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B1:AI44"/>
  <sheetViews>
    <sheetView workbookViewId="0">
      <selection activeCell="O35" sqref="O35"/>
    </sheetView>
  </sheetViews>
  <sheetFormatPr defaultRowHeight="15" x14ac:dyDescent="0.25"/>
  <cols>
    <col min="1" max="1" width="3.28515625" customWidth="1"/>
    <col min="2" max="2" width="14" customWidth="1"/>
    <col min="10" max="10" width="9.5703125" customWidth="1"/>
    <col min="13" max="18" width="9.140625" customWidth="1"/>
    <col min="26" max="26" width="10" customWidth="1"/>
  </cols>
  <sheetData>
    <row r="1" spans="2:21" ht="8.25" customHeight="1" x14ac:dyDescent="0.25"/>
    <row r="2" spans="2:21" ht="26.25" x14ac:dyDescent="0.4">
      <c r="B2" s="750" t="s">
        <v>551</v>
      </c>
    </row>
    <row r="3" spans="2:21" x14ac:dyDescent="0.25">
      <c r="B3" t="s">
        <v>552</v>
      </c>
    </row>
    <row r="4" spans="2:21" ht="9" customHeight="1" thickBot="1" x14ac:dyDescent="0.3"/>
    <row r="5" spans="2:21" x14ac:dyDescent="0.25">
      <c r="B5" s="993" t="s">
        <v>485</v>
      </c>
      <c r="C5" s="10"/>
      <c r="D5" s="274" t="s">
        <v>486</v>
      </c>
      <c r="E5" s="274" t="s">
        <v>487</v>
      </c>
      <c r="F5" s="274" t="s">
        <v>488</v>
      </c>
      <c r="G5" s="274" t="s">
        <v>489</v>
      </c>
      <c r="H5" s="274" t="s">
        <v>490</v>
      </c>
      <c r="I5" s="274" t="s">
        <v>491</v>
      </c>
      <c r="J5" s="274" t="s">
        <v>492</v>
      </c>
      <c r="K5" s="988" t="s">
        <v>493</v>
      </c>
      <c r="M5" s="994" t="s">
        <v>494</v>
      </c>
      <c r="N5" s="150"/>
      <c r="O5" s="150"/>
      <c r="P5" s="150"/>
      <c r="Q5" s="150"/>
      <c r="R5" s="150"/>
      <c r="S5" s="150"/>
      <c r="T5" s="150"/>
      <c r="U5" s="237"/>
    </row>
    <row r="6" spans="2:21" x14ac:dyDescent="0.25">
      <c r="B6" s="995" t="s">
        <v>495</v>
      </c>
      <c r="C6" s="996">
        <f ca="1">SUM(D6:K6)</f>
        <v>3.1629354365894398</v>
      </c>
      <c r="D6" s="997">
        <f ca="1">RAND()</f>
        <v>0.64180806549674951</v>
      </c>
      <c r="E6" s="997">
        <f t="shared" ref="E6:K6" ca="1" si="0">RAND()</f>
        <v>0.39907749514647239</v>
      </c>
      <c r="F6" s="997">
        <f t="shared" ca="1" si="0"/>
        <v>0.48465743394021388</v>
      </c>
      <c r="G6" s="997">
        <f t="shared" ca="1" si="0"/>
        <v>4.2368999868182877E-2</v>
      </c>
      <c r="H6" s="997">
        <f t="shared" ca="1" si="0"/>
        <v>0.32461049458141422</v>
      </c>
      <c r="I6" s="997">
        <f t="shared" ca="1" si="0"/>
        <v>0.70204721643149826</v>
      </c>
      <c r="J6" s="997">
        <f t="shared" ca="1" si="0"/>
        <v>2.910384331605731E-2</v>
      </c>
      <c r="K6" s="998">
        <f t="shared" ca="1" si="0"/>
        <v>0.53926188780885143</v>
      </c>
      <c r="M6" s="5"/>
      <c r="N6" s="7"/>
      <c r="O6" s="7"/>
      <c r="P6" s="5" t="s">
        <v>496</v>
      </c>
      <c r="Q6" s="7"/>
      <c r="R6" s="7"/>
      <c r="S6" s="7"/>
      <c r="T6" s="7"/>
      <c r="U6" s="6"/>
    </row>
    <row r="7" spans="2:21" ht="16.5" thickBot="1" x14ac:dyDescent="0.3">
      <c r="B7" s="999" t="s">
        <v>497</v>
      </c>
      <c r="C7" s="166"/>
      <c r="D7" s="1000">
        <f ca="1">D6/$C$6</f>
        <v>0.2029153229219261</v>
      </c>
      <c r="E7" s="1000">
        <f t="shared" ref="E7:K7" ca="1" si="1">E6/$C$6</f>
        <v>0.12617313984024711</v>
      </c>
      <c r="F7" s="1000">
        <f t="shared" ca="1" si="1"/>
        <v>0.15323026462494438</v>
      </c>
      <c r="G7" s="1000">
        <f t="shared" ca="1" si="1"/>
        <v>1.3395467823354917E-2</v>
      </c>
      <c r="H7" s="1000">
        <f t="shared" ca="1" si="1"/>
        <v>0.10262950385463394</v>
      </c>
      <c r="I7" s="1000">
        <f t="shared" ca="1" si="1"/>
        <v>0.22196065348349583</v>
      </c>
      <c r="J7" s="1000">
        <f t="shared" ca="1" si="1"/>
        <v>9.2015293702737352E-3</v>
      </c>
      <c r="K7" s="1001">
        <f t="shared" ca="1" si="1"/>
        <v>0.170494118081124</v>
      </c>
      <c r="L7" s="1002"/>
      <c r="M7" s="1003"/>
      <c r="N7" s="7"/>
      <c r="O7" s="7"/>
      <c r="P7" s="5" t="str">
        <f>"Min: "&amp;M22</f>
        <v>Min: 1000</v>
      </c>
      <c r="Q7" s="7"/>
      <c r="R7" s="5" t="str">
        <f>"Max: "&amp;M19</f>
        <v>Max: 1100</v>
      </c>
      <c r="S7" s="7"/>
      <c r="T7" s="7"/>
      <c r="U7" s="6"/>
    </row>
    <row r="8" spans="2:21" x14ac:dyDescent="0.25">
      <c r="B8" s="114"/>
      <c r="C8" s="7"/>
      <c r="D8" s="986"/>
      <c r="E8" s="986"/>
      <c r="F8" s="986"/>
      <c r="G8" s="986"/>
      <c r="H8" s="986"/>
      <c r="I8" s="986"/>
      <c r="J8" s="986"/>
      <c r="K8" s="181"/>
      <c r="M8" s="5"/>
      <c r="N8" s="7"/>
      <c r="O8" s="7"/>
      <c r="P8" s="5"/>
      <c r="Q8" s="7"/>
      <c r="R8" s="5"/>
      <c r="S8" s="7"/>
      <c r="T8" s="7"/>
      <c r="U8" s="6"/>
    </row>
    <row r="9" spans="2:21" ht="15.75" x14ac:dyDescent="0.25">
      <c r="B9" s="1004" t="s">
        <v>498</v>
      </c>
      <c r="C9" s="7"/>
      <c r="D9" s="1005">
        <v>1</v>
      </c>
      <c r="E9" s="986"/>
      <c r="F9" s="1005">
        <v>1</v>
      </c>
      <c r="G9" s="1005">
        <f ca="1">IF(D26=1,H22,H23)</f>
        <v>10.419091703558493</v>
      </c>
      <c r="H9" s="986"/>
      <c r="I9" s="986"/>
      <c r="J9" s="986"/>
      <c r="K9" s="181"/>
      <c r="M9" s="5"/>
      <c r="N9" s="7"/>
      <c r="O9" s="7"/>
      <c r="P9" s="5"/>
      <c r="Q9" s="7"/>
      <c r="R9" s="5"/>
      <c r="S9" s="7"/>
      <c r="T9" s="7"/>
      <c r="U9" s="6"/>
    </row>
    <row r="10" spans="2:21" x14ac:dyDescent="0.25">
      <c r="B10" s="114"/>
      <c r="C10" s="7"/>
      <c r="D10" s="986"/>
      <c r="E10" s="986"/>
      <c r="F10" s="986"/>
      <c r="G10" s="986"/>
      <c r="H10" s="986"/>
      <c r="I10" s="7"/>
      <c r="J10" s="7"/>
      <c r="K10" s="181"/>
      <c r="M10" s="5"/>
      <c r="N10" s="7"/>
      <c r="O10" s="7"/>
      <c r="P10" s="5" t="s">
        <v>499</v>
      </c>
      <c r="Q10" s="7"/>
      <c r="R10" s="5"/>
      <c r="S10" s="7"/>
      <c r="T10" s="7"/>
      <c r="U10" s="6"/>
    </row>
    <row r="11" spans="2:21" x14ac:dyDescent="0.25">
      <c r="B11" s="114"/>
      <c r="C11" s="7"/>
      <c r="D11" s="986"/>
      <c r="E11" s="986"/>
      <c r="F11" s="986"/>
      <c r="G11" s="846"/>
      <c r="J11" s="846"/>
      <c r="K11" s="1006"/>
      <c r="M11" s="5"/>
      <c r="N11" s="7"/>
      <c r="O11" s="7"/>
      <c r="P11" s="5" t="s">
        <v>500</v>
      </c>
      <c r="Q11" s="24" t="s">
        <v>501</v>
      </c>
      <c r="R11" s="5"/>
      <c r="S11" s="7"/>
      <c r="T11" s="7"/>
      <c r="U11" s="6"/>
    </row>
    <row r="12" spans="2:21" x14ac:dyDescent="0.25">
      <c r="B12" s="995" t="s">
        <v>495</v>
      </c>
      <c r="C12" s="996">
        <f ca="1">SUM(D12:K12)</f>
        <v>2.1977680126038011</v>
      </c>
      <c r="D12" s="997">
        <v>0</v>
      </c>
      <c r="E12" s="997">
        <f t="shared" ref="E12:K12" ca="1" si="2">RAND()</f>
        <v>0.79791136044390687</v>
      </c>
      <c r="F12" s="997">
        <v>0</v>
      </c>
      <c r="G12" s="997">
        <f t="shared" ca="1" si="2"/>
        <v>4.7119994281912603E-2</v>
      </c>
      <c r="H12" s="997">
        <v>0</v>
      </c>
      <c r="I12" s="997">
        <f t="shared" ca="1" si="2"/>
        <v>0.73627657181218042</v>
      </c>
      <c r="J12" s="997">
        <v>0</v>
      </c>
      <c r="K12" s="998">
        <f t="shared" ca="1" si="2"/>
        <v>0.61646008606580127</v>
      </c>
      <c r="M12" s="2" t="s">
        <v>502</v>
      </c>
      <c r="N12" s="245"/>
      <c r="O12" s="3" t="s">
        <v>503</v>
      </c>
      <c r="P12" s="1007">
        <f ca="1">D7</f>
        <v>0.2029153229219261</v>
      </c>
      <c r="Q12" s="1007">
        <f ca="1">F7</f>
        <v>0.15323026462494438</v>
      </c>
      <c r="R12" s="1007">
        <f ca="1">H7</f>
        <v>0.10262950385463394</v>
      </c>
      <c r="S12" s="1007">
        <f ca="1">J7</f>
        <v>9.2015293702737352E-3</v>
      </c>
      <c r="T12" s="7"/>
      <c r="U12" s="6" t="s">
        <v>504</v>
      </c>
    </row>
    <row r="13" spans="2:21" x14ac:dyDescent="0.25">
      <c r="B13" s="995" t="s">
        <v>505</v>
      </c>
      <c r="C13" s="1008"/>
      <c r="D13" s="977">
        <f ca="1">D12/$C12</f>
        <v>0</v>
      </c>
      <c r="E13" s="977">
        <f ca="1">E12/$C12</f>
        <v>0.36305531606067148</v>
      </c>
      <c r="F13" s="977">
        <f t="shared" ref="F13:K13" ca="1" si="3">F12/$C12</f>
        <v>0</v>
      </c>
      <c r="G13" s="977">
        <f t="shared" ca="1" si="3"/>
        <v>2.1439930880642534E-2</v>
      </c>
      <c r="H13" s="977">
        <f t="shared" ca="1" si="3"/>
        <v>0</v>
      </c>
      <c r="I13" s="977">
        <f t="shared" ca="1" si="3"/>
        <v>0.33501105102529832</v>
      </c>
      <c r="J13" s="977">
        <f t="shared" ca="1" si="3"/>
        <v>0</v>
      </c>
      <c r="K13" s="1009">
        <f t="shared" ca="1" si="3"/>
        <v>0.28049370203338769</v>
      </c>
      <c r="M13" s="5"/>
      <c r="N13" s="245"/>
      <c r="O13" s="3" t="s">
        <v>506</v>
      </c>
      <c r="P13" s="1007">
        <f ca="1">E7</f>
        <v>0.12617313984024711</v>
      </c>
      <c r="Q13" s="1007">
        <f ca="1">G7</f>
        <v>1.3395467823354917E-2</v>
      </c>
      <c r="R13" s="1007">
        <f ca="1">I7</f>
        <v>0.22196065348349583</v>
      </c>
      <c r="S13" s="1007">
        <f ca="1">K7</f>
        <v>0.170494118081124</v>
      </c>
      <c r="T13" s="7"/>
      <c r="U13" s="1010">
        <f ca="1">SUM(P13:S13)</f>
        <v>0.53202337922822185</v>
      </c>
    </row>
    <row r="14" spans="2:21" x14ac:dyDescent="0.25">
      <c r="B14" s="995" t="s">
        <v>507</v>
      </c>
      <c r="C14" s="1011">
        <f ca="1">SUM(K13,I13)</f>
        <v>0.61550475305868602</v>
      </c>
      <c r="D14" s="1012">
        <f ca="1">C14-F20</f>
        <v>0.34673928086314676</v>
      </c>
      <c r="E14" s="1008"/>
      <c r="F14" s="1008"/>
      <c r="G14" s="1008"/>
      <c r="H14" s="1008"/>
      <c r="I14" s="1008"/>
      <c r="J14" s="1008"/>
      <c r="K14" s="1013"/>
      <c r="M14" s="5"/>
      <c r="N14" s="7"/>
      <c r="O14" s="7"/>
      <c r="P14" s="7"/>
      <c r="Q14" s="7"/>
      <c r="R14" s="7"/>
      <c r="S14" s="7"/>
      <c r="T14" s="7"/>
      <c r="U14" s="6"/>
    </row>
    <row r="15" spans="2:21" ht="15.75" x14ac:dyDescent="0.25">
      <c r="B15" s="1014" t="s">
        <v>508</v>
      </c>
      <c r="C15" s="6"/>
      <c r="D15" s="1015">
        <f t="shared" ref="D15:J15" ca="1" si="4">E16</f>
        <v>0.55178089508579942</v>
      </c>
      <c r="E15" s="1015">
        <f t="shared" si="4"/>
        <v>0</v>
      </c>
      <c r="F15" s="1015">
        <f t="shared" ca="1" si="4"/>
        <v>0.17945363271866133</v>
      </c>
      <c r="G15" s="1015">
        <f t="shared" si="4"/>
        <v>0</v>
      </c>
      <c r="H15" s="1015">
        <f t="shared" ca="1" si="4"/>
        <v>0.14628547200017036</v>
      </c>
      <c r="I15" s="1015">
        <f t="shared" si="4"/>
        <v>0</v>
      </c>
      <c r="J15" s="1015">
        <f t="shared" ca="1" si="4"/>
        <v>0.12248000019536889</v>
      </c>
      <c r="K15" s="1016">
        <v>0</v>
      </c>
      <c r="L15" t="s">
        <v>509</v>
      </c>
      <c r="M15" s="5"/>
      <c r="N15" s="7"/>
      <c r="O15" s="7"/>
      <c r="P15" s="7" t="s">
        <v>510</v>
      </c>
      <c r="Q15" s="187">
        <f ca="1">SUM(Q12:Q13,S12:S13)</f>
        <v>0.34632137989969702</v>
      </c>
      <c r="R15" s="7"/>
      <c r="S15" s="7" t="s">
        <v>511</v>
      </c>
      <c r="T15" s="7"/>
      <c r="U15" s="6"/>
    </row>
    <row r="16" spans="2:21" ht="15.75" x14ac:dyDescent="0.25">
      <c r="B16" s="1014" t="s">
        <v>512</v>
      </c>
      <c r="C16" s="6">
        <f ca="1">SUM(K16,I16)</f>
        <v>0.26876547219553926</v>
      </c>
      <c r="D16" s="1015">
        <v>0</v>
      </c>
      <c r="E16" s="1015">
        <f ca="1">E13+(I13-I16)</f>
        <v>0.55178089508579942</v>
      </c>
      <c r="F16" s="1015">
        <v>0</v>
      </c>
      <c r="G16" s="1015">
        <f ca="1">G13+(K13-K16)</f>
        <v>0.17945363271866133</v>
      </c>
      <c r="H16" s="1015">
        <v>0</v>
      </c>
      <c r="I16" s="1015">
        <f ca="1">I13-(D14)*(I13/(I13+K13))</f>
        <v>0.14628547200017036</v>
      </c>
      <c r="J16" s="1015">
        <v>0</v>
      </c>
      <c r="K16" s="1016">
        <f ca="1">K13-(D14)*(K13/(K13+I13))</f>
        <v>0.12248000019536889</v>
      </c>
      <c r="L16" t="s">
        <v>315</v>
      </c>
      <c r="M16" s="2"/>
      <c r="N16" s="245"/>
      <c r="O16" s="245"/>
      <c r="P16" s="245"/>
      <c r="Q16" s="245"/>
      <c r="R16" s="245"/>
      <c r="S16" s="712">
        <f ca="1">SUM(R12:S13)</f>
        <v>0.50428580478952756</v>
      </c>
      <c r="T16" s="245"/>
      <c r="U16" s="3"/>
    </row>
    <row r="17" spans="2:35" ht="15.75" thickBot="1" x14ac:dyDescent="0.3">
      <c r="B17" s="119"/>
      <c r="C17" s="166"/>
      <c r="D17" s="987"/>
      <c r="E17" s="987"/>
      <c r="F17" s="1017"/>
      <c r="G17" s="987"/>
      <c r="H17" s="748"/>
      <c r="I17" s="987"/>
      <c r="J17" s="638"/>
      <c r="K17" s="989"/>
    </row>
    <row r="18" spans="2:35" ht="15.75" thickBot="1" x14ac:dyDescent="0.3">
      <c r="B18" s="1018" t="s">
        <v>513</v>
      </c>
      <c r="C18" s="10"/>
      <c r="D18" s="10"/>
      <c r="E18" s="10"/>
      <c r="F18" s="10"/>
      <c r="G18" s="10"/>
      <c r="H18" s="10"/>
      <c r="I18" s="10"/>
      <c r="J18" s="10"/>
      <c r="K18" s="10"/>
      <c r="L18" s="10"/>
      <c r="M18" s="1019" t="s">
        <v>514</v>
      </c>
      <c r="N18" s="274" t="s">
        <v>515</v>
      </c>
      <c r="O18" s="1020" t="s">
        <v>516</v>
      </c>
      <c r="P18" s="11"/>
    </row>
    <row r="19" spans="2:35" x14ac:dyDescent="0.25">
      <c r="B19" s="114"/>
      <c r="C19" s="143" t="s">
        <v>517</v>
      </c>
      <c r="D19" s="143" t="s">
        <v>518</v>
      </c>
      <c r="E19" s="143" t="s">
        <v>519</v>
      </c>
      <c r="F19" s="1021" t="s">
        <v>520</v>
      </c>
      <c r="G19" s="143" t="s">
        <v>521</v>
      </c>
      <c r="H19" s="7"/>
      <c r="I19" s="1022" t="s">
        <v>522</v>
      </c>
      <c r="J19" s="7" t="s">
        <v>523</v>
      </c>
      <c r="K19" s="7"/>
      <c r="L19" s="143" t="s">
        <v>368</v>
      </c>
      <c r="M19" s="928">
        <v>1100</v>
      </c>
      <c r="N19" s="1023">
        <v>1</v>
      </c>
      <c r="O19" s="1024">
        <f>1-N19</f>
        <v>0</v>
      </c>
      <c r="P19" s="100"/>
      <c r="R19" s="7"/>
      <c r="S19" s="7"/>
      <c r="T19" s="7"/>
      <c r="U19" s="7"/>
      <c r="V19" s="7"/>
      <c r="W19" s="7"/>
      <c r="X19" s="7"/>
      <c r="Y19" s="7"/>
      <c r="Z19" s="7"/>
      <c r="AA19" s="7"/>
    </row>
    <row r="20" spans="2:35" ht="15.75" thickBot="1" x14ac:dyDescent="0.3">
      <c r="B20" s="114"/>
      <c r="C20" s="986">
        <f ca="1">SUM(H7:K7)</f>
        <v>0.50428580478952756</v>
      </c>
      <c r="D20" s="986">
        <f ca="1">SUM(F7:G7,J7:K7)</f>
        <v>0.34632137989969702</v>
      </c>
      <c r="E20" s="744">
        <f ca="1">SUM(I7,K7)</f>
        <v>0.39245477156461983</v>
      </c>
      <c r="F20" s="1025">
        <f ca="1">IF(G20&gt;=0.25,G20+0.001,0.25)</f>
        <v>0.26876547219553926</v>
      </c>
      <c r="G20" s="7">
        <f ca="1">SUM(G7,K7)*(C20/D20)</f>
        <v>0.26776547219553926</v>
      </c>
      <c r="H20" s="7"/>
      <c r="I20" s="1026">
        <v>500</v>
      </c>
      <c r="J20" s="7">
        <f ca="1" xml:space="preserve"> ( (M20-M21)/M20 ) / ( (O21/O20)-1)</f>
        <v>4.7191613444528054E-2</v>
      </c>
      <c r="K20" s="7"/>
      <c r="L20" s="986" t="s">
        <v>524</v>
      </c>
      <c r="M20" s="667">
        <f ca="1">N20*M$23+M$22</f>
        <v>1050.4285804789527</v>
      </c>
      <c r="N20" s="253">
        <f ca="1">C20</f>
        <v>0.50428580478952756</v>
      </c>
      <c r="O20" s="1027">
        <f ca="1">1-N20</f>
        <v>0.49571419521047244</v>
      </c>
      <c r="P20" s="100"/>
      <c r="R20" s="7"/>
      <c r="S20" s="7"/>
      <c r="T20" s="7"/>
      <c r="U20" s="7"/>
      <c r="V20" s="7"/>
      <c r="W20" s="7"/>
      <c r="X20" s="7"/>
      <c r="Y20" s="7"/>
      <c r="Z20" s="7"/>
      <c r="AA20" s="7"/>
    </row>
    <row r="21" spans="2:35" x14ac:dyDescent="0.25">
      <c r="B21" s="114"/>
      <c r="C21" s="7"/>
      <c r="D21" s="7"/>
      <c r="E21" s="7"/>
      <c r="F21" s="7"/>
      <c r="G21" s="7"/>
      <c r="H21" s="7"/>
      <c r="I21" s="7"/>
      <c r="J21" s="7"/>
      <c r="K21" s="7"/>
      <c r="L21" s="986" t="s">
        <v>525</v>
      </c>
      <c r="M21" s="667">
        <f ca="1">N21*M$23+M$22</f>
        <v>1026.8765472195539</v>
      </c>
      <c r="N21" s="253">
        <f ca="1">SUM(H16:K16)</f>
        <v>0.26876547219553926</v>
      </c>
      <c r="O21" s="1027">
        <f ca="1">1-N21</f>
        <v>0.73123452780446074</v>
      </c>
      <c r="P21" s="100"/>
      <c r="R21" s="1003"/>
      <c r="S21" s="7"/>
      <c r="T21" s="7"/>
    </row>
    <row r="22" spans="2:35" x14ac:dyDescent="0.25">
      <c r="B22" s="114" t="s">
        <v>526</v>
      </c>
      <c r="C22" s="7" t="s">
        <v>527</v>
      </c>
      <c r="D22" s="7" t="s">
        <v>528</v>
      </c>
      <c r="E22" s="8" t="s">
        <v>529</v>
      </c>
      <c r="F22" s="986"/>
      <c r="G22" s="1028" t="s">
        <v>530</v>
      </c>
      <c r="H22" s="7">
        <f ca="1">SUM(D7,F7)*(C20/D20)*(1/F20) / (( 1 - (SUM(G7,K7)*(C20/D20)*(1/F20) ) ))</f>
        <v>518.59103902372124</v>
      </c>
      <c r="I22" s="7"/>
      <c r="J22" s="7"/>
      <c r="K22" s="7"/>
      <c r="L22" s="985" t="s">
        <v>367</v>
      </c>
      <c r="M22" s="1029">
        <v>1000</v>
      </c>
      <c r="N22" s="269">
        <v>0</v>
      </c>
      <c r="O22" s="1030">
        <f>1-N22</f>
        <v>1</v>
      </c>
      <c r="P22" s="100"/>
      <c r="R22" s="7"/>
      <c r="S22" s="7"/>
      <c r="T22" s="7"/>
    </row>
    <row r="23" spans="2:35" x14ac:dyDescent="0.25">
      <c r="B23" s="114">
        <f ca="1">SUMPRODUCT(D7:K7,$D$9:$K$9)</f>
        <v>0.49571419521047244</v>
      </c>
      <c r="C23" s="7">
        <f ca="1">SUM(H7:K7)</f>
        <v>0.50428580478952756</v>
      </c>
      <c r="D23" s="7">
        <f ca="1">C23*$M$23 +$M$22</f>
        <v>1050.4285804789527</v>
      </c>
      <c r="E23" s="7">
        <f ca="1">D23*B23</f>
        <v>520.71235839820304</v>
      </c>
      <c r="F23" s="7"/>
      <c r="G23" s="7" t="s">
        <v>531</v>
      </c>
      <c r="H23" s="7">
        <f ca="1" xml:space="preserve"> ( (1-C20) - SUMPRODUCT(D9:F9,D7:F7) )/G7</f>
        <v>10.419091703558493</v>
      </c>
      <c r="I23" s="7"/>
      <c r="J23" s="7"/>
      <c r="K23" s="7"/>
      <c r="L23" s="143" t="s">
        <v>532</v>
      </c>
      <c r="M23" s="1031">
        <f>M19-M22</f>
        <v>100</v>
      </c>
      <c r="N23" s="986"/>
      <c r="O23" s="7"/>
      <c r="P23" s="100"/>
      <c r="R23" s="7"/>
      <c r="S23" s="7"/>
      <c r="T23" s="7"/>
      <c r="W23" s="7"/>
      <c r="X23" s="7"/>
      <c r="Y23" s="7"/>
      <c r="Z23" s="7"/>
      <c r="AA23" s="7"/>
    </row>
    <row r="24" spans="2:35" ht="15.75" thickBot="1" x14ac:dyDescent="0.3">
      <c r="B24" s="114"/>
      <c r="C24" s="7"/>
      <c r="D24" s="7"/>
      <c r="E24" s="7"/>
      <c r="F24" s="7"/>
      <c r="G24" s="7"/>
      <c r="H24" s="166"/>
      <c r="I24" s="1032"/>
      <c r="J24" s="166"/>
      <c r="K24" s="166"/>
      <c r="L24" s="166"/>
      <c r="M24" s="166"/>
      <c r="N24" s="166"/>
      <c r="O24" s="166"/>
      <c r="P24" s="100"/>
      <c r="R24" s="7"/>
      <c r="S24" s="7"/>
      <c r="T24" s="7"/>
      <c r="U24" s="7"/>
      <c r="V24" s="7"/>
      <c r="W24" s="7"/>
      <c r="X24" s="7"/>
      <c r="Y24" s="7"/>
      <c r="Z24" s="7"/>
      <c r="AA24" s="7"/>
    </row>
    <row r="25" spans="2:35" x14ac:dyDescent="0.25">
      <c r="B25" s="114"/>
      <c r="C25" s="7"/>
      <c r="D25" s="7"/>
      <c r="E25" s="100"/>
      <c r="F25" s="993" t="s">
        <v>533</v>
      </c>
      <c r="G25" s="10"/>
      <c r="H25" s="10"/>
      <c r="I25" s="10"/>
      <c r="J25" s="10"/>
      <c r="K25" s="10"/>
      <c r="L25" s="10"/>
      <c r="M25" s="10"/>
      <c r="N25" s="10"/>
      <c r="O25" s="10"/>
      <c r="P25" s="11"/>
      <c r="R25" s="7"/>
      <c r="S25" s="7"/>
      <c r="T25" s="7"/>
      <c r="U25" s="7"/>
      <c r="V25" s="7"/>
      <c r="W25" s="7"/>
      <c r="X25" s="7"/>
      <c r="Y25" s="7"/>
      <c r="Z25" s="7"/>
      <c r="AA25" s="7"/>
    </row>
    <row r="26" spans="2:35" x14ac:dyDescent="0.25">
      <c r="B26" s="114"/>
      <c r="C26" s="983" t="s">
        <v>534</v>
      </c>
      <c r="D26" s="339">
        <v>0</v>
      </c>
      <c r="E26" s="100"/>
      <c r="F26" s="114"/>
      <c r="G26" s="1589" t="s">
        <v>535</v>
      </c>
      <c r="H26" s="1589"/>
      <c r="I26" s="1589"/>
      <c r="J26" s="1589"/>
      <c r="K26" s="1589" t="s">
        <v>536</v>
      </c>
      <c r="L26" s="1589"/>
      <c r="M26" s="1589"/>
      <c r="N26" s="1589"/>
      <c r="O26" s="7"/>
      <c r="P26" s="100"/>
      <c r="T26" s="7"/>
      <c r="U26" s="19"/>
      <c r="V26" s="19"/>
      <c r="W26" s="19"/>
      <c r="X26" s="19"/>
      <c r="Y26" s="7"/>
      <c r="Z26" s="7"/>
      <c r="AA26" s="7"/>
    </row>
    <row r="27" spans="2:35" x14ac:dyDescent="0.25">
      <c r="B27" s="114"/>
      <c r="C27" s="7"/>
      <c r="D27" s="7"/>
      <c r="E27" s="100"/>
      <c r="F27" s="114"/>
      <c r="G27" s="986" t="s">
        <v>361</v>
      </c>
      <c r="H27" s="986" t="s">
        <v>537</v>
      </c>
      <c r="I27" s="986" t="s">
        <v>538</v>
      </c>
      <c r="J27" s="986" t="s">
        <v>12</v>
      </c>
      <c r="K27" s="986" t="s">
        <v>12</v>
      </c>
      <c r="L27" s="986" t="s">
        <v>538</v>
      </c>
      <c r="M27" s="986" t="s">
        <v>539</v>
      </c>
      <c r="N27" s="986" t="s">
        <v>361</v>
      </c>
      <c r="O27" s="986" t="s">
        <v>227</v>
      </c>
      <c r="P27" s="181"/>
      <c r="R27" s="143" t="s">
        <v>540</v>
      </c>
      <c r="S27" s="833">
        <f ca="1">SUM(F16:G16,J16:K16) / SUM(F7:G7,J7:K7)</f>
        <v>0.87183076309489593</v>
      </c>
    </row>
    <row r="28" spans="2:35" ht="15" customHeight="1" x14ac:dyDescent="0.25">
      <c r="B28" s="1033">
        <f ca="1">SUMPRODUCT(D15:K15,$D$9:$K$9)</f>
        <v>0.73123452780446074</v>
      </c>
      <c r="C28" s="7">
        <f ca="1">SUM(H15:K15)</f>
        <v>0.26876547219553926</v>
      </c>
      <c r="D28" s="7">
        <f ca="1">C28*$M$23 +$M$22</f>
        <v>1026.8765472195539</v>
      </c>
      <c r="E28" s="100">
        <f ca="1">D28*B28</f>
        <v>750.88758711956552</v>
      </c>
      <c r="F28" s="114" t="s">
        <v>509</v>
      </c>
      <c r="G28" s="1034">
        <f ca="1">$I$20*(1-$J$20)</f>
        <v>476.404193277736</v>
      </c>
      <c r="H28" s="1034">
        <f ca="1">$I$20*$J$20</f>
        <v>23.595806722264026</v>
      </c>
      <c r="I28" s="253">
        <f ca="1">H28/D$23</f>
        <v>2.2463028101829922E-2</v>
      </c>
      <c r="J28" s="986">
        <f ca="1">I28/B$23</f>
        <v>4.5314474184650844E-2</v>
      </c>
      <c r="K28" s="986">
        <f ca="1">J28</f>
        <v>4.5314474184650844E-2</v>
      </c>
      <c r="L28" s="986">
        <f ca="1">K28*B28</f>
        <v>3.3135508133120585E-2</v>
      </c>
      <c r="M28" s="1035">
        <f ca="1">L28*D28</f>
        <v>34.026076182104312</v>
      </c>
      <c r="N28" s="1035">
        <f ca="1">SUM(G28,M28)</f>
        <v>510.4302694598403</v>
      </c>
      <c r="O28" s="1036">
        <f ca="1">N28/$I$20</f>
        <v>1.0208605389196805</v>
      </c>
      <c r="P28" s="100"/>
      <c r="Q28" s="810"/>
      <c r="R28" s="143" t="s">
        <v>541</v>
      </c>
      <c r="S28" s="833">
        <f ca="1">SUM(H16:K16)/SUM(H7:K7)</f>
        <v>0.53296259708859584</v>
      </c>
      <c r="AI28" s="150"/>
    </row>
    <row r="29" spans="2:35" x14ac:dyDescent="0.25">
      <c r="B29" s="1033">
        <f ca="1">SUMPRODUCT(D16:K16,$D$9:$K$9)</f>
        <v>1.8697438558324371</v>
      </c>
      <c r="C29" s="7">
        <f ca="1">SUM(H16:K16)</f>
        <v>0.26876547219553926</v>
      </c>
      <c r="D29" s="7">
        <f ca="1">C29*$M$23 +$M$22</f>
        <v>1026.8765472195539</v>
      </c>
      <c r="E29" s="100">
        <f ca="1">D29*B29</f>
        <v>1919.9961148621883</v>
      </c>
      <c r="F29" s="114" t="s">
        <v>315</v>
      </c>
      <c r="G29" s="1034">
        <f ca="1">$I$20*(1-$J$20)</f>
        <v>476.404193277736</v>
      </c>
      <c r="H29" s="1034">
        <f ca="1">$I$20*$J$20</f>
        <v>23.595806722264026</v>
      </c>
      <c r="I29" s="253">
        <f ca="1">H29/D$23</f>
        <v>2.2463028101829922E-2</v>
      </c>
      <c r="J29" s="986">
        <f ca="1">I29/B$23</f>
        <v>4.5314474184650844E-2</v>
      </c>
      <c r="K29" s="986">
        <f ca="1">J29</f>
        <v>4.5314474184650844E-2</v>
      </c>
      <c r="L29" s="986">
        <f ca="1">K29*B29</f>
        <v>8.4726459687028494E-2</v>
      </c>
      <c r="M29" s="1035">
        <f ca="1">L29*D29</f>
        <v>87.003614381552552</v>
      </c>
      <c r="N29" s="1035">
        <f ca="1">SUM(G29,M29)</f>
        <v>563.40780765928855</v>
      </c>
      <c r="O29" s="1036">
        <f ca="1">N29/$I$20</f>
        <v>1.1268156153185771</v>
      </c>
      <c r="P29" s="1037"/>
      <c r="R29" s="150" t="s">
        <v>542</v>
      </c>
      <c r="S29" s="1038">
        <f ca="1">S27/S28</f>
        <v>1.6358197889634816</v>
      </c>
      <c r="T29" s="1039"/>
      <c r="U29" s="1039"/>
      <c r="V29" s="1039"/>
      <c r="W29" s="1039"/>
      <c r="X29" s="7"/>
      <c r="Y29" s="7"/>
      <c r="Z29" s="7"/>
      <c r="AA29" s="7"/>
    </row>
    <row r="30" spans="2:35" ht="15.75" thickBot="1" x14ac:dyDescent="0.3">
      <c r="B30" s="1040"/>
      <c r="C30" s="1041"/>
      <c r="D30" s="166"/>
      <c r="E30" s="102"/>
      <c r="F30" s="119"/>
      <c r="G30" s="166"/>
      <c r="H30" s="166"/>
      <c r="I30" s="166"/>
      <c r="J30" s="166"/>
      <c r="K30" s="166"/>
      <c r="L30" s="166"/>
      <c r="M30" s="166"/>
      <c r="N30" s="166"/>
      <c r="O30" s="166"/>
      <c r="P30" s="102"/>
      <c r="S30" s="7"/>
      <c r="T30" s="1039"/>
      <c r="U30" s="1039"/>
      <c r="V30" s="1039"/>
      <c r="W30" s="1039"/>
      <c r="X30" s="187"/>
      <c r="Y30" s="7"/>
      <c r="Z30" s="7"/>
      <c r="AA30" s="7"/>
    </row>
    <row r="31" spans="2:35" x14ac:dyDescent="0.25">
      <c r="B31" s="7"/>
      <c r="C31" s="7"/>
      <c r="D31" s="7"/>
      <c r="F31" s="7"/>
      <c r="H31" s="7"/>
      <c r="S31" s="7"/>
      <c r="T31" s="1039"/>
      <c r="U31" s="1039"/>
      <c r="V31" s="1039"/>
      <c r="W31" s="1039"/>
      <c r="X31" s="7"/>
      <c r="Y31" s="7"/>
      <c r="Z31" s="7"/>
      <c r="AA31" s="7"/>
    </row>
    <row r="32" spans="2:35" x14ac:dyDescent="0.25">
      <c r="B32" s="7" t="s">
        <v>543</v>
      </c>
      <c r="C32" s="7"/>
      <c r="D32" s="7"/>
    </row>
    <row r="33" spans="2:5" x14ac:dyDescent="0.25">
      <c r="B33" s="7"/>
      <c r="C33" s="7"/>
      <c r="D33" s="7"/>
      <c r="E33" s="7"/>
    </row>
    <row r="34" spans="2:5" x14ac:dyDescent="0.25">
      <c r="B34" t="s">
        <v>142</v>
      </c>
      <c r="D34" s="7"/>
    </row>
    <row r="35" spans="2:5" x14ac:dyDescent="0.25">
      <c r="B35" t="s">
        <v>544</v>
      </c>
      <c r="D35" s="7"/>
    </row>
    <row r="36" spans="2:5" x14ac:dyDescent="0.25">
      <c r="C36" s="7" t="str">
        <f ca="1">"Notice "&amp;CELL("address",O28)&amp;" is (almost) always at LEAST 100%."</f>
        <v>Notice $O$28 is (almost) always at LEAST 100%.</v>
      </c>
      <c r="D36" s="7"/>
    </row>
    <row r="37" spans="2:5" x14ac:dyDescent="0.25">
      <c r="C37" s="7" t="str">
        <f ca="1">"Try setting static initial prices, "&amp;CELL("address",O28)&amp;" won't vary at all (it is known for any given set of initial prices)…so if the offered "&amp;CELL("address",O28)&amp;" is undesireable, the trader can pass."</f>
        <v>Try setting static initial prices, $O$28 won't vary at all (it is known for any given set of initial prices)…so if the offered $O$28 is undesireable, the trader can pass.</v>
      </c>
      <c r="D37" s="7"/>
    </row>
    <row r="38" spans="2:5" x14ac:dyDescent="0.25">
      <c r="C38" s="7"/>
      <c r="D38" s="7"/>
      <c r="E38" s="7"/>
    </row>
    <row r="39" spans="2:5" x14ac:dyDescent="0.25">
      <c r="B39" t="s">
        <v>545</v>
      </c>
    </row>
    <row r="40" spans="2:5" x14ac:dyDescent="0.25">
      <c r="C40" s="7" t="str">
        <f ca="1">"Even "&amp;CELL("address",O29)&amp;" rarely drops below 100%, when it does, it is because state 4 began as reasonably expensive, and yet it fell greatly. In other words, the portfolio only loses money if one's bet on d2 goes awry (which is ideal)."</f>
        <v>Even $O$29 rarely drops below 100%, when it does, it is because state 4 began as reasonably expensive, and yet it fell greatly. In other words, the portfolio only loses money if one's bet on d2 goes awry (which is ideal).</v>
      </c>
    </row>
    <row r="41" spans="2:5" x14ac:dyDescent="0.25">
      <c r="C41" s="8" t="str">
        <f ca="1">"Check out "&amp;CELL("address",S29)&amp;", glossing over some details, it should co-vary with "&amp;CELL("address",O29)&amp;". This grants the trader exposure to d2 (the goal metric), but 'priced in USD' (1/d3)."</f>
        <v>Check out $S$29, glossing over some details, it should co-vary with $O$29. This grants the trader exposure to d2 (the goal metric), but 'priced in USD' (1/d3).</v>
      </c>
    </row>
    <row r="43" spans="2:5" x14ac:dyDescent="0.25">
      <c r="B43" t="s">
        <v>546</v>
      </c>
    </row>
    <row r="44" spans="2:5" x14ac:dyDescent="0.25">
      <c r="C44" s="8" t="s">
        <v>547</v>
      </c>
    </row>
  </sheetData>
  <mergeCells count="2">
    <mergeCell ref="G26:J26"/>
    <mergeCell ref="K26:N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B1:AA44"/>
  <sheetViews>
    <sheetView workbookViewId="0">
      <selection activeCell="F2" sqref="F2"/>
    </sheetView>
  </sheetViews>
  <sheetFormatPr defaultRowHeight="15" x14ac:dyDescent="0.25"/>
  <cols>
    <col min="1" max="1" width="3.28515625" customWidth="1"/>
    <col min="2" max="2" width="14" customWidth="1"/>
    <col min="10" max="10" width="9.5703125" customWidth="1"/>
    <col min="13" max="18" width="9.140625" customWidth="1"/>
    <col min="26" max="26" width="10" customWidth="1"/>
  </cols>
  <sheetData>
    <row r="1" spans="2:21" ht="8.25" customHeight="1" x14ac:dyDescent="0.25"/>
    <row r="2" spans="2:21" ht="21.75" customHeight="1" x14ac:dyDescent="0.4">
      <c r="B2" s="750" t="s">
        <v>553</v>
      </c>
    </row>
    <row r="3" spans="2:21" x14ac:dyDescent="0.25">
      <c r="B3" t="s">
        <v>554</v>
      </c>
    </row>
    <row r="4" spans="2:21" ht="9" customHeight="1" thickBot="1" x14ac:dyDescent="0.3"/>
    <row r="5" spans="2:21" x14ac:dyDescent="0.25">
      <c r="B5" s="993" t="s">
        <v>485</v>
      </c>
      <c r="C5" s="10"/>
      <c r="D5" s="274" t="s">
        <v>486</v>
      </c>
      <c r="E5" s="274" t="s">
        <v>487</v>
      </c>
      <c r="F5" s="274" t="s">
        <v>488</v>
      </c>
      <c r="G5" s="274" t="s">
        <v>489</v>
      </c>
      <c r="H5" s="274" t="s">
        <v>490</v>
      </c>
      <c r="I5" s="274" t="s">
        <v>491</v>
      </c>
      <c r="J5" s="274" t="s">
        <v>492</v>
      </c>
      <c r="K5" s="988" t="s">
        <v>493</v>
      </c>
      <c r="M5" s="994" t="s">
        <v>494</v>
      </c>
      <c r="N5" s="150"/>
      <c r="O5" s="150"/>
      <c r="P5" s="150"/>
      <c r="Q5" s="150"/>
      <c r="R5" s="150"/>
      <c r="S5" s="150"/>
      <c r="T5" s="150"/>
      <c r="U5" s="237"/>
    </row>
    <row r="6" spans="2:21" x14ac:dyDescent="0.25">
      <c r="B6" s="995" t="s">
        <v>495</v>
      </c>
      <c r="C6" s="996">
        <f ca="1">SUM(D6:K6)</f>
        <v>2.831082861530354</v>
      </c>
      <c r="D6" s="997">
        <f ca="1">RAND()</f>
        <v>0.34705645445935418</v>
      </c>
      <c r="E6" s="997">
        <f t="shared" ref="E6:K6" ca="1" si="0">RAND()</f>
        <v>0.13635787588223502</v>
      </c>
      <c r="F6" s="997">
        <f t="shared" ca="1" si="0"/>
        <v>0.67294730948649994</v>
      </c>
      <c r="G6" s="997">
        <f t="shared" ca="1" si="0"/>
        <v>0.58705459734322962</v>
      </c>
      <c r="H6" s="997">
        <f t="shared" ca="1" si="0"/>
        <v>0.2570369812297435</v>
      </c>
      <c r="I6" s="997">
        <f t="shared" ca="1" si="0"/>
        <v>6.1738224581360579E-2</v>
      </c>
      <c r="J6" s="997">
        <f t="shared" ca="1" si="0"/>
        <v>0.36354114303755647</v>
      </c>
      <c r="K6" s="998">
        <f t="shared" ca="1" si="0"/>
        <v>0.40535027551037439</v>
      </c>
      <c r="M6" s="5"/>
      <c r="N6" s="7"/>
      <c r="O6" s="7"/>
      <c r="P6" s="5" t="s">
        <v>496</v>
      </c>
      <c r="Q6" s="7"/>
      <c r="R6" s="7"/>
      <c r="S6" s="7"/>
      <c r="T6" s="7"/>
      <c r="U6" s="6"/>
    </row>
    <row r="7" spans="2:21" ht="16.5" thickBot="1" x14ac:dyDescent="0.3">
      <c r="B7" s="999" t="s">
        <v>497</v>
      </c>
      <c r="C7" s="166"/>
      <c r="D7" s="1000">
        <f ca="1">D6/$C$6</f>
        <v>0.12258788295293883</v>
      </c>
      <c r="E7" s="1000">
        <f t="shared" ref="E7:K7" ca="1" si="1">E6/$C$6</f>
        <v>4.8164565486623089E-2</v>
      </c>
      <c r="F7" s="1000">
        <f t="shared" ca="1" si="1"/>
        <v>0.23769961615420024</v>
      </c>
      <c r="G7" s="1000">
        <f t="shared" ca="1" si="1"/>
        <v>0.20736044335554868</v>
      </c>
      <c r="H7" s="1000">
        <f t="shared" ca="1" si="1"/>
        <v>9.079104844384564E-2</v>
      </c>
      <c r="I7" s="1000">
        <f t="shared" ca="1" si="1"/>
        <v>2.1807282796374148E-2</v>
      </c>
      <c r="J7" s="1000">
        <f t="shared" ca="1" si="1"/>
        <v>0.1284106332518444</v>
      </c>
      <c r="K7" s="1001">
        <f t="shared" ca="1" si="1"/>
        <v>0.1431785275586249</v>
      </c>
      <c r="L7" s="1002"/>
      <c r="M7" s="1003"/>
      <c r="N7" s="7"/>
      <c r="O7" s="7"/>
      <c r="P7" s="5" t="str">
        <f>"Min: "&amp;M22</f>
        <v>Min: 1000</v>
      </c>
      <c r="Q7" s="7"/>
      <c r="R7" s="5" t="str">
        <f>"Max: "&amp;M19</f>
        <v>Max: 1100</v>
      </c>
      <c r="S7" s="7"/>
      <c r="T7" s="7"/>
      <c r="U7" s="6"/>
    </row>
    <row r="8" spans="2:21" x14ac:dyDescent="0.25">
      <c r="B8" s="114"/>
      <c r="C8" s="7"/>
      <c r="D8" s="986"/>
      <c r="E8" s="986"/>
      <c r="F8" s="986"/>
      <c r="G8" s="986"/>
      <c r="H8" s="986"/>
      <c r="I8" s="986"/>
      <c r="J8" s="986"/>
      <c r="K8" s="181"/>
      <c r="M8" s="5"/>
      <c r="N8" s="7"/>
      <c r="O8" s="7"/>
      <c r="P8" s="5"/>
      <c r="Q8" s="7"/>
      <c r="R8" s="5"/>
      <c r="S8" s="7"/>
      <c r="T8" s="7"/>
      <c r="U8" s="6"/>
    </row>
    <row r="9" spans="2:21" ht="15.75" x14ac:dyDescent="0.25">
      <c r="B9" s="1004" t="s">
        <v>498</v>
      </c>
      <c r="C9" s="7"/>
      <c r="D9" s="1005">
        <v>1</v>
      </c>
      <c r="E9" s="986"/>
      <c r="F9" s="1005">
        <v>1</v>
      </c>
      <c r="G9" s="1005">
        <f ca="1">IF(D26=1,H22,H23)</f>
        <v>1.2322746069945374</v>
      </c>
      <c r="H9" s="986"/>
      <c r="I9" s="986"/>
      <c r="J9" s="986"/>
      <c r="K9" s="181"/>
      <c r="M9" s="5"/>
      <c r="N9" s="7"/>
      <c r="O9" s="7"/>
      <c r="P9" s="5"/>
      <c r="Q9" s="7"/>
      <c r="R9" s="5"/>
      <c r="S9" s="7"/>
      <c r="T9" s="7"/>
      <c r="U9" s="6"/>
    </row>
    <row r="10" spans="2:21" x14ac:dyDescent="0.25">
      <c r="B10" s="114"/>
      <c r="C10" s="7"/>
      <c r="D10" s="986"/>
      <c r="E10" s="986"/>
      <c r="F10" s="986"/>
      <c r="G10" s="986"/>
      <c r="H10" s="986"/>
      <c r="I10" s="7"/>
      <c r="J10" s="7"/>
      <c r="K10" s="181"/>
      <c r="M10" s="5"/>
      <c r="N10" s="7"/>
      <c r="O10" s="7"/>
      <c r="P10" s="5" t="s">
        <v>499</v>
      </c>
      <c r="Q10" s="7"/>
      <c r="R10" s="5"/>
      <c r="S10" s="7"/>
      <c r="T10" s="7"/>
      <c r="U10" s="6"/>
    </row>
    <row r="11" spans="2:21" x14ac:dyDescent="0.25">
      <c r="B11" s="114"/>
      <c r="C11" s="7"/>
      <c r="D11" s="986"/>
      <c r="E11" s="986"/>
      <c r="F11" s="986"/>
      <c r="G11" s="846"/>
      <c r="J11" s="846"/>
      <c r="K11" s="1006"/>
      <c r="M11" s="5"/>
      <c r="N11" s="7"/>
      <c r="O11" s="7"/>
      <c r="P11" s="5" t="s">
        <v>500</v>
      </c>
      <c r="Q11" s="24" t="s">
        <v>501</v>
      </c>
      <c r="R11" s="5"/>
      <c r="S11" s="7"/>
      <c r="T11" s="7"/>
      <c r="U11" s="6"/>
    </row>
    <row r="12" spans="2:21" x14ac:dyDescent="0.25">
      <c r="B12" s="995" t="s">
        <v>495</v>
      </c>
      <c r="C12" s="996">
        <f ca="1">SUM(D12:K12)</f>
        <v>2.3379714107890837</v>
      </c>
      <c r="D12" s="997">
        <v>0</v>
      </c>
      <c r="E12" s="997">
        <f t="shared" ref="E12:K12" ca="1" si="2">RAND()</f>
        <v>0.94922559212280055</v>
      </c>
      <c r="F12" s="997">
        <v>0</v>
      </c>
      <c r="G12" s="997">
        <f t="shared" ca="1" si="2"/>
        <v>0.30625623686843073</v>
      </c>
      <c r="H12" s="997">
        <v>0</v>
      </c>
      <c r="I12" s="997">
        <f t="shared" ca="1" si="2"/>
        <v>0.31310701940212726</v>
      </c>
      <c r="J12" s="997">
        <v>0</v>
      </c>
      <c r="K12" s="998">
        <f t="shared" ca="1" si="2"/>
        <v>0.769382562395725</v>
      </c>
      <c r="M12" s="2" t="s">
        <v>502</v>
      </c>
      <c r="N12" s="245"/>
      <c r="O12" s="3" t="s">
        <v>503</v>
      </c>
      <c r="P12" s="1007">
        <f ca="1">D7</f>
        <v>0.12258788295293883</v>
      </c>
      <c r="Q12" s="1007">
        <f ca="1">F7</f>
        <v>0.23769961615420024</v>
      </c>
      <c r="R12" s="1007">
        <f ca="1">H7</f>
        <v>9.079104844384564E-2</v>
      </c>
      <c r="S12" s="1007">
        <f ca="1">J7</f>
        <v>0.1284106332518444</v>
      </c>
      <c r="T12" s="7"/>
      <c r="U12" s="6" t="s">
        <v>504</v>
      </c>
    </row>
    <row r="13" spans="2:21" x14ac:dyDescent="0.25">
      <c r="B13" s="995" t="s">
        <v>505</v>
      </c>
      <c r="C13" s="1008">
        <f ca="1">SUM(G13,K13)</f>
        <v>0.46007354679376478</v>
      </c>
      <c r="D13" s="977">
        <f ca="1">D12/$C12</f>
        <v>0</v>
      </c>
      <c r="E13" s="977">
        <f ca="1">E12/$C12</f>
        <v>0.40600393475403085</v>
      </c>
      <c r="F13" s="977">
        <f t="shared" ref="F13:K13" ca="1" si="3">F12/$C12</f>
        <v>0</v>
      </c>
      <c r="G13" s="977">
        <f t="shared" ca="1" si="3"/>
        <v>0.13099229334248652</v>
      </c>
      <c r="H13" s="977">
        <f t="shared" ca="1" si="3"/>
        <v>0</v>
      </c>
      <c r="I13" s="977">
        <f t="shared" ca="1" si="3"/>
        <v>0.13392251845220435</v>
      </c>
      <c r="J13" s="977">
        <f t="shared" ca="1" si="3"/>
        <v>0</v>
      </c>
      <c r="K13" s="1009">
        <f t="shared" ca="1" si="3"/>
        <v>0.32908125345127826</v>
      </c>
      <c r="M13" s="5"/>
      <c r="N13" s="245"/>
      <c r="O13" s="3" t="s">
        <v>506</v>
      </c>
      <c r="P13" s="1007">
        <f ca="1">E7</f>
        <v>4.8164565486623089E-2</v>
      </c>
      <c r="Q13" s="1007">
        <f ca="1">G7</f>
        <v>0.20736044335554868</v>
      </c>
      <c r="R13" s="1007">
        <f ca="1">I7</f>
        <v>2.1807282796374148E-2</v>
      </c>
      <c r="S13" s="1007">
        <f ca="1">K7</f>
        <v>0.1431785275586249</v>
      </c>
      <c r="T13" s="7"/>
      <c r="U13" s="1010">
        <f ca="1">SUM(P13:S13)</f>
        <v>0.42051081919717082</v>
      </c>
    </row>
    <row r="14" spans="2:21" x14ac:dyDescent="0.25">
      <c r="B14" s="995" t="s">
        <v>507</v>
      </c>
      <c r="C14" s="1011">
        <f ca="1">SUM(K13,I13)</f>
        <v>0.46300377190348263</v>
      </c>
      <c r="D14" s="1042">
        <f ca="1">C14-W27</f>
        <v>0.16300377190348264</v>
      </c>
      <c r="E14" s="1008"/>
      <c r="F14" s="1008"/>
      <c r="G14" s="1008"/>
      <c r="H14" s="1008"/>
      <c r="I14" s="1008"/>
      <c r="J14" s="1008"/>
      <c r="K14" s="1013"/>
      <c r="M14" s="5"/>
      <c r="N14" s="7"/>
      <c r="O14" s="7"/>
      <c r="P14" s="7"/>
      <c r="Q14" s="7"/>
      <c r="R14" s="7"/>
      <c r="S14" s="7"/>
      <c r="T14" s="7"/>
      <c r="U14" s="6"/>
    </row>
    <row r="15" spans="2:21" ht="15.75" x14ac:dyDescent="0.25">
      <c r="B15" s="1014" t="s">
        <v>508</v>
      </c>
      <c r="C15" s="6">
        <f ca="1">SUM(K15,I15)</f>
        <v>0.29999999999999993</v>
      </c>
      <c r="D15" s="1015">
        <v>0</v>
      </c>
      <c r="E15" s="1015">
        <f ca="1">E13+(I13-I15)</f>
        <v>0.45315231015662627</v>
      </c>
      <c r="F15" s="1015">
        <v>0</v>
      </c>
      <c r="G15" s="1015">
        <f ca="1">G13+(K13-K15)</f>
        <v>0.24684768984337374</v>
      </c>
      <c r="H15" s="1015">
        <v>0</v>
      </c>
      <c r="I15" s="1015">
        <f ca="1">I13-(D14)*(I13/(I13+K13))</f>
        <v>8.6774143049608926E-2</v>
      </c>
      <c r="J15" s="1015">
        <v>0</v>
      </c>
      <c r="K15" s="1016">
        <f ca="1">K13-(D14)*(K13/(K13+I13))</f>
        <v>0.21322585695039104</v>
      </c>
      <c r="L15" t="s">
        <v>509</v>
      </c>
      <c r="M15" s="5"/>
      <c r="N15" s="7"/>
      <c r="O15" s="7"/>
      <c r="P15" s="7" t="s">
        <v>510</v>
      </c>
      <c r="Q15" s="187">
        <f ca="1">SUM(Q12:Q13,S12:S13)</f>
        <v>0.71664922032021827</v>
      </c>
      <c r="R15" s="7"/>
      <c r="S15" s="7" t="s">
        <v>511</v>
      </c>
      <c r="T15" s="7"/>
      <c r="U15" s="6"/>
    </row>
    <row r="16" spans="2:21" ht="15.75" x14ac:dyDescent="0.25">
      <c r="B16" s="1014" t="s">
        <v>512</v>
      </c>
      <c r="C16" s="6"/>
      <c r="D16" s="1015">
        <f ca="1">E15</f>
        <v>0.45315231015662627</v>
      </c>
      <c r="E16" s="1015">
        <f t="shared" ref="E16:J16" si="4">F15</f>
        <v>0</v>
      </c>
      <c r="F16" s="1015">
        <f t="shared" ca="1" si="4"/>
        <v>0.24684768984337374</v>
      </c>
      <c r="G16" s="1015">
        <f t="shared" si="4"/>
        <v>0</v>
      </c>
      <c r="H16" s="1015">
        <f t="shared" ca="1" si="4"/>
        <v>8.6774143049608926E-2</v>
      </c>
      <c r="I16" s="1015">
        <f t="shared" si="4"/>
        <v>0</v>
      </c>
      <c r="J16" s="1015">
        <f t="shared" ca="1" si="4"/>
        <v>0.21322585695039104</v>
      </c>
      <c r="K16" s="1016">
        <v>0</v>
      </c>
      <c r="L16" t="s">
        <v>315</v>
      </c>
      <c r="M16" s="2"/>
      <c r="N16" s="245"/>
      <c r="O16" s="245"/>
      <c r="P16" s="245"/>
      <c r="Q16" s="245"/>
      <c r="R16" s="245"/>
      <c r="S16" s="712">
        <f ca="1">SUM(R12:S13)</f>
        <v>0.38418749205068908</v>
      </c>
      <c r="T16" s="245"/>
      <c r="U16" s="3"/>
    </row>
    <row r="17" spans="2:27" ht="15.75" thickBot="1" x14ac:dyDescent="0.3">
      <c r="B17" s="119"/>
      <c r="C17" s="166"/>
      <c r="D17" s="987"/>
      <c r="E17" s="987"/>
      <c r="F17" s="1017"/>
      <c r="G17" s="987"/>
      <c r="H17" s="748"/>
      <c r="I17" s="987"/>
      <c r="J17" s="638"/>
      <c r="K17" s="989"/>
    </row>
    <row r="18" spans="2:27" ht="15.75" thickBot="1" x14ac:dyDescent="0.3">
      <c r="B18" s="1018" t="s">
        <v>513</v>
      </c>
      <c r="C18" s="10"/>
      <c r="D18" s="10"/>
      <c r="E18" s="10"/>
      <c r="F18" s="10"/>
      <c r="G18" s="10"/>
      <c r="H18" s="10"/>
      <c r="I18" s="10"/>
      <c r="J18" s="10"/>
      <c r="K18" s="10"/>
      <c r="L18" s="10"/>
      <c r="M18" s="1019" t="s">
        <v>514</v>
      </c>
      <c r="N18" s="274" t="s">
        <v>515</v>
      </c>
      <c r="O18" s="1020" t="s">
        <v>516</v>
      </c>
      <c r="P18" s="11"/>
    </row>
    <row r="19" spans="2:27" x14ac:dyDescent="0.25">
      <c r="B19" s="114"/>
      <c r="C19" s="143" t="s">
        <v>517</v>
      </c>
      <c r="D19" s="143" t="s">
        <v>518</v>
      </c>
      <c r="E19" s="143" t="s">
        <v>519</v>
      </c>
      <c r="F19" s="1021" t="s">
        <v>520</v>
      </c>
      <c r="G19" s="143" t="s">
        <v>521</v>
      </c>
      <c r="H19" s="7"/>
      <c r="I19" s="1022" t="s">
        <v>522</v>
      </c>
      <c r="J19" s="7" t="s">
        <v>523</v>
      </c>
      <c r="K19" s="7"/>
      <c r="L19" s="143" t="s">
        <v>368</v>
      </c>
      <c r="M19" s="928">
        <v>1100</v>
      </c>
      <c r="N19" s="1023">
        <v>1</v>
      </c>
      <c r="O19" s="1024">
        <f>1-N19</f>
        <v>0</v>
      </c>
      <c r="P19" s="100"/>
      <c r="R19" s="7"/>
      <c r="S19" s="7"/>
      <c r="T19" s="7"/>
      <c r="U19" s="7"/>
      <c r="V19" s="7"/>
      <c r="W19" s="7"/>
      <c r="X19" s="7"/>
      <c r="Y19" s="7"/>
      <c r="Z19" s="7"/>
      <c r="AA19" s="7"/>
    </row>
    <row r="20" spans="2:27" ht="15.75" thickBot="1" x14ac:dyDescent="0.3">
      <c r="B20" s="114"/>
      <c r="C20" s="986">
        <f ca="1">SUM(H7:K7)</f>
        <v>0.38418749205068908</v>
      </c>
      <c r="D20" s="986">
        <f ca="1">SUM(F7:G7,J7:K7)</f>
        <v>0.71664922032021827</v>
      </c>
      <c r="E20" s="744">
        <f ca="1">SUM(I7,K7)</f>
        <v>0.16498581035499904</v>
      </c>
      <c r="F20" s="1025">
        <f ca="1">IF(G20&gt;=0.25,G20+0.001,0.25)</f>
        <v>0.25</v>
      </c>
      <c r="G20" s="7">
        <f ca="1">SUM(G7,K7)*(C20/D20)</f>
        <v>0.18791995342068521</v>
      </c>
      <c r="H20" s="7"/>
      <c r="I20" s="1026">
        <v>500</v>
      </c>
      <c r="J20" s="7">
        <f ca="1" xml:space="preserve"> ( (M20-M21)/M20 ) / ( (O21/O20)-1)</f>
        <v>5.9302907273268098E-2</v>
      </c>
      <c r="K20" s="7"/>
      <c r="L20" s="986" t="s">
        <v>524</v>
      </c>
      <c r="M20" s="667">
        <f ca="1">N20*M$23+M$22</f>
        <v>1038.4187492050689</v>
      </c>
      <c r="N20" s="253">
        <f ca="1">C20</f>
        <v>0.38418749205068908</v>
      </c>
      <c r="O20" s="1027">
        <f ca="1">1-N20</f>
        <v>0.61581250794931086</v>
      </c>
      <c r="P20" s="100"/>
      <c r="R20" s="7"/>
      <c r="S20" s="7"/>
      <c r="T20" s="7"/>
      <c r="U20" s="7"/>
      <c r="V20" s="7"/>
      <c r="W20" s="7"/>
      <c r="X20" s="7"/>
      <c r="Y20" s="7"/>
      <c r="Z20" s="7"/>
      <c r="AA20" s="7"/>
    </row>
    <row r="21" spans="2:27" x14ac:dyDescent="0.25">
      <c r="B21" s="114"/>
      <c r="C21" s="7"/>
      <c r="D21" s="7"/>
      <c r="E21" s="7"/>
      <c r="F21" s="7"/>
      <c r="G21" s="7"/>
      <c r="H21" s="7"/>
      <c r="I21" s="7"/>
      <c r="J21" s="7"/>
      <c r="K21" s="7"/>
      <c r="L21" s="986" t="s">
        <v>525</v>
      </c>
      <c r="M21" s="667">
        <f ca="1">N21*M$23+M$22</f>
        <v>1030</v>
      </c>
      <c r="N21" s="253">
        <f ca="1">SUM(H15:K15)</f>
        <v>0.29999999999999993</v>
      </c>
      <c r="O21" s="1027">
        <f ca="1">1-N21</f>
        <v>0.70000000000000007</v>
      </c>
      <c r="P21" s="100"/>
      <c r="R21" s="1003"/>
      <c r="S21" s="7"/>
      <c r="T21" s="7"/>
      <c r="U21" s="7"/>
      <c r="V21" s="7"/>
      <c r="W21" s="7"/>
      <c r="X21" s="7"/>
      <c r="Y21" s="7"/>
      <c r="Z21" s="7"/>
      <c r="AA21" s="7"/>
    </row>
    <row r="22" spans="2:27" x14ac:dyDescent="0.25">
      <c r="B22" s="114" t="s">
        <v>538</v>
      </c>
      <c r="C22" s="7" t="s">
        <v>527</v>
      </c>
      <c r="D22" s="7" t="s">
        <v>528</v>
      </c>
      <c r="E22" s="8" t="s">
        <v>529</v>
      </c>
      <c r="F22" s="986"/>
      <c r="G22" s="1028" t="s">
        <v>530</v>
      </c>
      <c r="H22" s="7">
        <f ca="1">SUM(D7,F7)*(C20/D20)*(1/F20) / (( 1 - (SUM(G7,K7)*(C20/D20)*(1/F20) ) ))</f>
        <v>3.1112416806386762</v>
      </c>
      <c r="I22" s="7"/>
      <c r="J22" s="7"/>
      <c r="K22" s="7"/>
      <c r="L22" s="985" t="s">
        <v>367</v>
      </c>
      <c r="M22" s="1029">
        <v>1000</v>
      </c>
      <c r="N22" s="269">
        <v>0</v>
      </c>
      <c r="O22" s="1030">
        <f>1-N22</f>
        <v>1</v>
      </c>
      <c r="P22" s="100"/>
      <c r="R22" s="7"/>
      <c r="S22" s="7"/>
      <c r="T22" s="7"/>
      <c r="U22" s="7"/>
      <c r="V22" s="7"/>
      <c r="W22" s="7" t="s">
        <v>548</v>
      </c>
      <c r="X22" s="7"/>
      <c r="Y22" s="7"/>
      <c r="Z22" s="7"/>
      <c r="AA22" s="7"/>
    </row>
    <row r="23" spans="2:27" x14ac:dyDescent="0.25">
      <c r="B23" s="114">
        <f ca="1">SUMPRODUCT(D7:K7,$D$9:$K$9)</f>
        <v>0.61581250794931086</v>
      </c>
      <c r="C23" s="7">
        <f ca="1">SUM(H7:K7)</f>
        <v>0.38418749205068908</v>
      </c>
      <c r="D23" s="7">
        <f ca="1">C23*$M$23 +$M$22</f>
        <v>1038.4187492050689</v>
      </c>
      <c r="E23" s="7">
        <f ca="1">D23*B23</f>
        <v>639.47125424955993</v>
      </c>
      <c r="F23" s="7"/>
      <c r="G23" s="7" t="s">
        <v>531</v>
      </c>
      <c r="H23" s="7">
        <f ca="1" xml:space="preserve"> ( (1-C20) - SUMPRODUCT(D9:F9,D7:F7) )/G7</f>
        <v>1.2322746069945374</v>
      </c>
      <c r="I23" s="7"/>
      <c r="J23" s="7"/>
      <c r="K23" s="7"/>
      <c r="L23" s="143" t="s">
        <v>532</v>
      </c>
      <c r="M23" s="1031">
        <f>M19-M22</f>
        <v>100</v>
      </c>
      <c r="N23" s="986"/>
      <c r="O23" s="7"/>
      <c r="P23" s="100"/>
      <c r="R23" s="7"/>
      <c r="S23" s="7"/>
      <c r="T23" s="7"/>
      <c r="U23" s="7"/>
      <c r="V23" s="7"/>
      <c r="W23" s="7"/>
      <c r="X23" s="7"/>
      <c r="Z23" s="7"/>
      <c r="AA23" s="7"/>
    </row>
    <row r="24" spans="2:27" ht="15.75" thickBot="1" x14ac:dyDescent="0.3">
      <c r="B24" s="114"/>
      <c r="C24" s="7"/>
      <c r="D24" s="7"/>
      <c r="E24" s="7"/>
      <c r="F24" s="7"/>
      <c r="G24" s="7"/>
      <c r="H24" s="166"/>
      <c r="I24" s="1032"/>
      <c r="J24" s="166"/>
      <c r="K24" s="166"/>
      <c r="L24" s="166"/>
      <c r="M24" s="166"/>
      <c r="N24" s="166"/>
      <c r="O24" s="166"/>
      <c r="P24" s="100"/>
      <c r="R24" s="7"/>
      <c r="S24" s="7"/>
      <c r="T24" s="7"/>
      <c r="U24" s="7"/>
      <c r="V24" s="7"/>
      <c r="W24" s="19" t="s">
        <v>549</v>
      </c>
      <c r="X24" s="7"/>
      <c r="Y24" s="7"/>
      <c r="Z24" s="7"/>
      <c r="AA24" s="7"/>
    </row>
    <row r="25" spans="2:27" x14ac:dyDescent="0.25">
      <c r="B25" s="114"/>
      <c r="C25" s="7"/>
      <c r="D25" s="7"/>
      <c r="E25" s="100"/>
      <c r="F25" s="993" t="s">
        <v>533</v>
      </c>
      <c r="G25" s="10"/>
      <c r="H25" s="10"/>
      <c r="I25" s="10"/>
      <c r="J25" s="10"/>
      <c r="K25" s="10"/>
      <c r="L25" s="10"/>
      <c r="M25" s="10"/>
      <c r="N25" s="10"/>
      <c r="O25" s="10"/>
      <c r="P25" s="11"/>
      <c r="R25" s="7"/>
      <c r="S25" s="7"/>
      <c r="T25" s="7"/>
      <c r="U25" s="7"/>
      <c r="V25" s="7"/>
      <c r="W25" s="19">
        <v>1.2</v>
      </c>
      <c r="X25" s="7"/>
      <c r="Y25" s="7" t="s">
        <v>550</v>
      </c>
      <c r="Z25" s="7"/>
      <c r="AA25" s="7"/>
    </row>
    <row r="26" spans="2:27" x14ac:dyDescent="0.25">
      <c r="B26" s="114"/>
      <c r="C26" s="983" t="s">
        <v>534</v>
      </c>
      <c r="D26" s="339">
        <v>0</v>
      </c>
      <c r="E26" s="100"/>
      <c r="F26" s="114"/>
      <c r="G26" s="1589" t="s">
        <v>535</v>
      </c>
      <c r="H26" s="1589"/>
      <c r="I26" s="1589"/>
      <c r="J26" s="1589"/>
      <c r="K26" s="1589" t="s">
        <v>536</v>
      </c>
      <c r="L26" s="1589"/>
      <c r="M26" s="1589"/>
      <c r="N26" s="1589"/>
      <c r="O26" s="7"/>
      <c r="P26" s="100"/>
      <c r="R26" s="143" t="s">
        <v>540</v>
      </c>
      <c r="S26" s="833">
        <f ca="1">SUM(F15:G15,J15:K15) / SUM(F7:G7,J7:K7)</f>
        <v>0.64197871671191031</v>
      </c>
      <c r="T26" s="7"/>
      <c r="W26" s="19" t="s">
        <v>555</v>
      </c>
      <c r="X26" s="19"/>
      <c r="Y26" s="7"/>
      <c r="Z26" s="7"/>
      <c r="AA26" s="7"/>
    </row>
    <row r="27" spans="2:27" x14ac:dyDescent="0.25">
      <c r="B27" s="114"/>
      <c r="C27" s="7"/>
      <c r="D27" s="7"/>
      <c r="E27" s="100"/>
      <c r="F27" s="114"/>
      <c r="G27" s="986" t="s">
        <v>361</v>
      </c>
      <c r="H27" s="986" t="s">
        <v>537</v>
      </c>
      <c r="I27" s="986" t="s">
        <v>538</v>
      </c>
      <c r="J27" s="986" t="s">
        <v>12</v>
      </c>
      <c r="K27" s="986" t="s">
        <v>12</v>
      </c>
      <c r="L27" s="986" t="s">
        <v>538</v>
      </c>
      <c r="M27" s="986" t="s">
        <v>539</v>
      </c>
      <c r="N27" s="986" t="s">
        <v>361</v>
      </c>
      <c r="O27" s="986" t="s">
        <v>227</v>
      </c>
      <c r="P27" s="181"/>
      <c r="R27" s="143" t="s">
        <v>541</v>
      </c>
      <c r="S27" s="833">
        <f ca="1">SUM(H15:K15)/SUM(H7:K7)</f>
        <v>0.78086873260417966</v>
      </c>
      <c r="T27" s="7"/>
      <c r="V27" s="19"/>
      <c r="W27" s="19">
        <f ca="1">F20*W25</f>
        <v>0.3</v>
      </c>
      <c r="X27" s="19"/>
      <c r="Y27" s="7"/>
      <c r="Z27" s="187"/>
      <c r="AA27" s="7"/>
    </row>
    <row r="28" spans="2:27" ht="15" customHeight="1" x14ac:dyDescent="0.25">
      <c r="B28" s="114">
        <f ca="1">SUMPRODUCT(D15:K15,$D$9:$K$9)</f>
        <v>0.30418413998925281</v>
      </c>
      <c r="C28" s="7">
        <f ca="1">SUM(H15:K15)</f>
        <v>0.29999999999999993</v>
      </c>
      <c r="D28" s="7">
        <f ca="1">C28*$M$23 +$M$22</f>
        <v>1030</v>
      </c>
      <c r="E28" s="100">
        <f ca="1">D28*B28</f>
        <v>313.30966418893041</v>
      </c>
      <c r="F28" s="114" t="s">
        <v>509</v>
      </c>
      <c r="G28" s="1034">
        <f ca="1">$I$20*(1-$J$20)</f>
        <v>470.34854636336593</v>
      </c>
      <c r="H28" s="1034">
        <f ca="1">$I$20*$J$20</f>
        <v>29.651453636634049</v>
      </c>
      <c r="I28" s="253">
        <f ca="1">H28/D$23</f>
        <v>2.8554428220149964E-2</v>
      </c>
      <c r="J28" s="986">
        <f ca="1">I28/B$23</f>
        <v>4.6368704518909114E-2</v>
      </c>
      <c r="K28" s="986">
        <f ca="1">J28</f>
        <v>4.6368704518909114E-2</v>
      </c>
      <c r="L28" s="986">
        <f ca="1">K28*B28</f>
        <v>1.4104624506500149E-2</v>
      </c>
      <c r="M28" s="1035">
        <f ca="1">L28*D28</f>
        <v>14.527763241695153</v>
      </c>
      <c r="N28" s="1035">
        <f ca="1">SUM(G28,M28)</f>
        <v>484.87630960506107</v>
      </c>
      <c r="O28" s="1036">
        <f ca="1">N28/$I$20</f>
        <v>0.96975261921012212</v>
      </c>
      <c r="P28" s="1037"/>
      <c r="Q28" s="150"/>
      <c r="R28" s="150" t="s">
        <v>542</v>
      </c>
      <c r="S28" s="1038">
        <f ca="1">S26/S27</f>
        <v>0.82213397707822888</v>
      </c>
      <c r="T28" s="1039"/>
      <c r="U28" s="1039"/>
      <c r="V28" s="1039"/>
      <c r="W28" s="1039"/>
      <c r="X28" s="7"/>
      <c r="Y28" s="7"/>
      <c r="Z28" s="7"/>
      <c r="AA28" s="7"/>
    </row>
    <row r="29" spans="2:27" x14ac:dyDescent="0.25">
      <c r="B29" s="114">
        <f ca="1">SUMPRODUCT(D16:K16,$D$9:$K$9)</f>
        <v>0.7</v>
      </c>
      <c r="C29" s="7">
        <f ca="1">SUM(H16:K16)</f>
        <v>0.29999999999999993</v>
      </c>
      <c r="D29" s="7">
        <f ca="1">C29*$M$23 +$M$22</f>
        <v>1030</v>
      </c>
      <c r="E29" s="100">
        <f ca="1">D29*B29</f>
        <v>721</v>
      </c>
      <c r="F29" s="114" t="s">
        <v>315</v>
      </c>
      <c r="G29" s="1034">
        <f ca="1">$I$20*(1-$J$20)</f>
        <v>470.34854636336593</v>
      </c>
      <c r="H29" s="1034">
        <f ca="1">$I$20*$J$20</f>
        <v>29.651453636634049</v>
      </c>
      <c r="I29" s="253">
        <f ca="1">H29/D$23</f>
        <v>2.8554428220149964E-2</v>
      </c>
      <c r="J29" s="986">
        <f ca="1">I29/B$23</f>
        <v>4.6368704518909114E-2</v>
      </c>
      <c r="K29" s="986">
        <f ca="1">J29</f>
        <v>4.6368704518909114E-2</v>
      </c>
      <c r="L29" s="986">
        <f ca="1">K29*B29</f>
        <v>3.2458093163236376E-2</v>
      </c>
      <c r="M29" s="1035">
        <f ca="1">L29*D29</f>
        <v>33.431835958133469</v>
      </c>
      <c r="N29" s="1035">
        <f ca="1">SUM(G29,M29)</f>
        <v>503.78038232149942</v>
      </c>
      <c r="O29" s="1036">
        <f ca="1">N29/$I$20</f>
        <v>1.0075607646429989</v>
      </c>
      <c r="P29" s="100"/>
      <c r="S29" s="7"/>
      <c r="T29" s="1039"/>
      <c r="U29" s="1039"/>
      <c r="V29" s="1039"/>
      <c r="W29" s="1039"/>
      <c r="X29" s="7"/>
      <c r="Y29" s="7"/>
      <c r="Z29" s="7"/>
      <c r="AA29" s="7"/>
    </row>
    <row r="30" spans="2:27" ht="15.75" thickBot="1" x14ac:dyDescent="0.3">
      <c r="B30" s="1040"/>
      <c r="C30" s="1041"/>
      <c r="D30" s="166"/>
      <c r="E30" s="102"/>
      <c r="F30" s="119"/>
      <c r="G30" s="166"/>
      <c r="H30" s="166"/>
      <c r="I30" s="166"/>
      <c r="J30" s="166"/>
      <c r="K30" s="166"/>
      <c r="L30" s="166"/>
      <c r="M30" s="166"/>
      <c r="N30" s="166"/>
      <c r="O30" s="166"/>
      <c r="P30" s="102"/>
      <c r="R30" s="7"/>
      <c r="S30" s="7"/>
      <c r="T30" s="1039"/>
      <c r="U30" s="1039"/>
      <c r="V30" s="1039"/>
      <c r="W30" s="1039"/>
      <c r="X30" s="187"/>
      <c r="Y30" s="7"/>
      <c r="Z30" s="7"/>
      <c r="AA30" s="7"/>
    </row>
    <row r="31" spans="2:27" x14ac:dyDescent="0.25">
      <c r="B31" s="7"/>
      <c r="C31" s="7"/>
      <c r="D31" s="7"/>
      <c r="F31" s="7"/>
      <c r="H31" s="7"/>
      <c r="R31" s="7"/>
      <c r="S31" s="7"/>
      <c r="T31" s="1039"/>
      <c r="U31" s="1039"/>
      <c r="V31" s="1039"/>
      <c r="W31" s="1039"/>
      <c r="X31" s="7"/>
      <c r="Y31" s="7"/>
      <c r="Z31" s="7"/>
      <c r="AA31" s="7"/>
    </row>
    <row r="32" spans="2:27" x14ac:dyDescent="0.25">
      <c r="B32" s="7" t="s">
        <v>543</v>
      </c>
      <c r="C32" s="7"/>
      <c r="D32" s="7"/>
    </row>
    <row r="33" spans="2:5" x14ac:dyDescent="0.25">
      <c r="B33" s="7"/>
      <c r="C33" s="7"/>
      <c r="D33" s="7"/>
      <c r="E33" s="7"/>
    </row>
    <row r="34" spans="2:5" x14ac:dyDescent="0.25">
      <c r="B34" t="s">
        <v>142</v>
      </c>
      <c r="D34" s="7"/>
    </row>
    <row r="35" spans="2:5" x14ac:dyDescent="0.25">
      <c r="B35" t="s">
        <v>544</v>
      </c>
      <c r="D35" s="7"/>
    </row>
    <row r="36" spans="2:5" x14ac:dyDescent="0.25">
      <c r="C36" s="7" t="str">
        <f ca="1">"Notice "&amp;CELL("address",O29)&amp;" is (almost) always at LEAST 100%."</f>
        <v>Notice $O$29 is (almost) always at LEAST 100%.</v>
      </c>
      <c r="D36" s="7"/>
    </row>
    <row r="37" spans="2:5" x14ac:dyDescent="0.25">
      <c r="C37" s="7" t="str">
        <f ca="1">"Try setting static initial prices, "&amp;CELL("address",O29)&amp;" won't vary at all (it is known for any given set of initial prices)…so if the offered "&amp;CELL("address",O29)&amp;" is undesireable, the trader can pass."</f>
        <v>Try setting static initial prices, $O$29 won't vary at all (it is known for any given set of initial prices)…so if the offered $O$29 is undesireable, the trader can pass.</v>
      </c>
      <c r="D37" s="7"/>
    </row>
    <row r="38" spans="2:5" x14ac:dyDescent="0.25">
      <c r="C38" s="7"/>
      <c r="D38" s="7"/>
      <c r="E38" s="7"/>
    </row>
    <row r="39" spans="2:5" x14ac:dyDescent="0.25">
      <c r="B39" t="s">
        <v>545</v>
      </c>
    </row>
    <row r="40" spans="2:5" x14ac:dyDescent="0.25">
      <c r="C40" s="7" t="str">
        <f ca="1">"Even "&amp;CELL("address",O28)&amp;" rarely drops below 100%, when it does, it is because state 4 began as reasonably expensive, and yet it fell greatly. In other words, the portfolio only loses money if one's bet on d2 goes awry (which is ideal)."</f>
        <v>Even $O$28 rarely drops below 100%, when it does, it is because state 4 began as reasonably expensive, and yet it fell greatly. In other words, the portfolio only loses money if one's bet on d2 goes awry (which is ideal).</v>
      </c>
    </row>
    <row r="41" spans="2:5" x14ac:dyDescent="0.25">
      <c r="C41" s="8" t="str">
        <f ca="1">"Check out "&amp;CELL("address",S28)&amp;", glossing over some details, it should co-vary with "&amp;CELL("address",O28)&amp;". This grants the trader exposure to d2 (the goal metric), but 'priced in USD' (1/d3)."</f>
        <v>Check out $S$28, glossing over some details, it should co-vary with $O$28. This grants the trader exposure to d2 (the goal metric), but 'priced in USD' (1/d3).</v>
      </c>
    </row>
    <row r="43" spans="2:5" x14ac:dyDescent="0.25">
      <c r="B43" t="s">
        <v>546</v>
      </c>
    </row>
    <row r="44" spans="2:5" x14ac:dyDescent="0.25">
      <c r="C44" s="8" t="s">
        <v>547</v>
      </c>
    </row>
  </sheetData>
  <mergeCells count="2">
    <mergeCell ref="G26:J26"/>
    <mergeCell ref="K26:N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2:BS94"/>
  <sheetViews>
    <sheetView zoomScale="55" zoomScaleNormal="55" workbookViewId="0">
      <selection activeCell="Q55" sqref="Q55"/>
    </sheetView>
  </sheetViews>
  <sheetFormatPr defaultRowHeight="15" x14ac:dyDescent="0.25"/>
  <cols>
    <col min="3" max="3" width="13.28515625" customWidth="1"/>
    <col min="5" max="13" width="11.42578125" style="33" customWidth="1"/>
    <col min="14" max="14" width="12.140625" style="33" customWidth="1"/>
    <col min="15" max="15" width="11.42578125" style="33" customWidth="1"/>
    <col min="16" max="16" width="12.28515625" style="33" customWidth="1"/>
    <col min="17" max="25" width="11.42578125" style="33" customWidth="1"/>
    <col min="26" max="27" width="12" style="33" customWidth="1"/>
    <col min="28" max="28" width="10.5703125" customWidth="1"/>
    <col min="29" max="29" width="9.42578125" customWidth="1"/>
    <col min="30" max="30" width="12.7109375" customWidth="1"/>
    <col min="31" max="31" width="10.28515625" customWidth="1"/>
    <col min="32" max="32" width="10.7109375" customWidth="1"/>
    <col min="33" max="33" width="13.85546875" customWidth="1"/>
    <col min="34" max="34" width="14" customWidth="1"/>
    <col min="36" max="36" width="12.140625" customWidth="1"/>
    <col min="37" max="37" width="10.5703125" customWidth="1"/>
    <col min="40" max="40" width="11.140625" customWidth="1"/>
    <col min="43" max="71" width="9.140625" style="7"/>
  </cols>
  <sheetData>
    <row r="2" spans="2:51" ht="31.5" x14ac:dyDescent="0.5">
      <c r="B2" s="186" t="s">
        <v>309</v>
      </c>
      <c r="D2" s="139"/>
    </row>
    <row r="3" spans="2:51" ht="23.25" x14ac:dyDescent="0.35">
      <c r="B3" s="751" t="s">
        <v>310</v>
      </c>
      <c r="D3" s="139"/>
    </row>
    <row r="4" spans="2:51" x14ac:dyDescent="0.25">
      <c r="C4" s="1564" t="s">
        <v>159</v>
      </c>
      <c r="D4" s="150" t="s">
        <v>101</v>
      </c>
      <c r="E4" s="150" t="s">
        <v>177</v>
      </c>
      <c r="F4" s="150"/>
      <c r="G4" s="264"/>
      <c r="H4" s="264"/>
      <c r="I4" s="264"/>
      <c r="J4" s="264"/>
      <c r="K4" s="264"/>
      <c r="L4" s="264"/>
      <c r="M4" s="259"/>
    </row>
    <row r="5" spans="2:51" x14ac:dyDescent="0.25">
      <c r="C5" s="1565"/>
      <c r="D5" s="17" t="s">
        <v>145</v>
      </c>
      <c r="E5" s="18">
        <v>0</v>
      </c>
      <c r="F5" s="7" t="s">
        <v>146</v>
      </c>
      <c r="G5" s="17"/>
      <c r="H5" s="17"/>
      <c r="I5" s="17"/>
      <c r="J5" s="17"/>
      <c r="K5" s="17"/>
      <c r="L5" s="17"/>
      <c r="M5" s="239"/>
    </row>
    <row r="6" spans="2:51" x14ac:dyDescent="0.25">
      <c r="C6" s="1565"/>
      <c r="D6" s="17" t="s">
        <v>148</v>
      </c>
      <c r="E6" s="18">
        <v>1000</v>
      </c>
      <c r="F6" s="7" t="s">
        <v>147</v>
      </c>
      <c r="G6" s="17"/>
      <c r="H6" s="17"/>
      <c r="I6" s="17"/>
      <c r="J6" s="17"/>
      <c r="K6" s="17"/>
      <c r="L6" s="17"/>
      <c r="M6" s="239"/>
    </row>
    <row r="7" spans="2:51" x14ac:dyDescent="0.25">
      <c r="C7" s="1565"/>
      <c r="D7" s="140" t="s">
        <v>149</v>
      </c>
      <c r="E7" s="18">
        <f>E6-E5</f>
        <v>1000</v>
      </c>
      <c r="F7" s="7" t="s">
        <v>150</v>
      </c>
      <c r="G7" s="17"/>
      <c r="H7" s="17"/>
      <c r="I7" s="17"/>
      <c r="J7" s="17"/>
      <c r="K7" s="17"/>
      <c r="L7" s="17"/>
      <c r="M7" s="239"/>
    </row>
    <row r="8" spans="2:51" x14ac:dyDescent="0.25">
      <c r="C8" s="1565"/>
      <c r="D8" s="140" t="s">
        <v>153</v>
      </c>
      <c r="E8" s="190"/>
      <c r="F8" s="8" t="s">
        <v>156</v>
      </c>
      <c r="G8" s="17"/>
      <c r="H8" s="17"/>
      <c r="I8" s="17"/>
      <c r="J8" s="17"/>
      <c r="K8" s="17"/>
      <c r="L8" s="17"/>
      <c r="M8" s="239"/>
    </row>
    <row r="9" spans="2:51" x14ac:dyDescent="0.25">
      <c r="C9" s="1565"/>
      <c r="D9" s="140" t="s">
        <v>154</v>
      </c>
      <c r="E9" s="190"/>
      <c r="F9" s="8" t="s">
        <v>157</v>
      </c>
      <c r="G9" s="17"/>
      <c r="H9" s="17"/>
      <c r="I9" s="17"/>
      <c r="J9" s="17"/>
      <c r="K9" s="17"/>
      <c r="L9" s="17"/>
      <c r="M9" s="239"/>
    </row>
    <row r="10" spans="2:51" x14ac:dyDescent="0.25">
      <c r="C10" s="1566"/>
      <c r="D10" s="265" t="s">
        <v>155</v>
      </c>
      <c r="E10" s="266"/>
      <c r="F10" s="267" t="s">
        <v>158</v>
      </c>
      <c r="G10" s="257"/>
      <c r="H10" s="257"/>
      <c r="I10" s="257"/>
      <c r="J10" s="257"/>
      <c r="K10" s="257"/>
      <c r="L10" s="257"/>
      <c r="M10" s="260"/>
      <c r="AE10" t="s">
        <v>230</v>
      </c>
    </row>
    <row r="11" spans="2:51" x14ac:dyDescent="0.25">
      <c r="C11" s="256"/>
      <c r="D11" s="140"/>
      <c r="E11" s="190"/>
      <c r="F11" s="8"/>
      <c r="G11" s="17"/>
      <c r="H11" s="17"/>
      <c r="I11" s="17"/>
      <c r="J11" s="17"/>
      <c r="K11" s="17"/>
      <c r="L11" s="17"/>
    </row>
    <row r="12" spans="2:51" x14ac:dyDescent="0.25">
      <c r="C12" s="1564" t="s">
        <v>163</v>
      </c>
      <c r="D12" s="150" t="s">
        <v>4</v>
      </c>
      <c r="E12" s="264" t="s">
        <v>207</v>
      </c>
      <c r="F12" s="150"/>
      <c r="G12" s="264"/>
      <c r="H12" s="271"/>
      <c r="I12" s="264"/>
      <c r="J12" s="259"/>
      <c r="K12" s="17"/>
      <c r="L12" s="17"/>
    </row>
    <row r="13" spans="2:51" x14ac:dyDescent="0.25">
      <c r="C13" s="1565"/>
      <c r="D13" s="17" t="s">
        <v>130</v>
      </c>
      <c r="E13" s="17" t="s">
        <v>3</v>
      </c>
      <c r="F13" s="7"/>
      <c r="G13" s="17"/>
      <c r="H13" s="189"/>
      <c r="I13" s="17"/>
      <c r="J13" s="239"/>
      <c r="K13" s="17"/>
      <c r="L13" s="17"/>
    </row>
    <row r="14" spans="2:51" x14ac:dyDescent="0.25">
      <c r="C14" s="1566"/>
      <c r="D14" s="257" t="s">
        <v>131</v>
      </c>
      <c r="E14" s="257" t="s">
        <v>2</v>
      </c>
      <c r="F14" s="245"/>
      <c r="G14" s="257"/>
      <c r="H14" s="272"/>
      <c r="I14" s="257"/>
      <c r="J14" s="260"/>
      <c r="K14" s="17"/>
      <c r="L14" s="17"/>
    </row>
    <row r="15" spans="2:51" ht="15.75" thickBot="1" x14ac:dyDescent="0.3">
      <c r="C15" s="256"/>
      <c r="D15" s="140"/>
      <c r="E15" s="190"/>
      <c r="F15" s="8"/>
      <c r="G15" s="17"/>
      <c r="H15" s="17"/>
      <c r="I15" s="17"/>
      <c r="J15" s="17"/>
      <c r="K15" s="17"/>
      <c r="L15" s="17"/>
    </row>
    <row r="16" spans="2:51" x14ac:dyDescent="0.25">
      <c r="C16" s="1567" t="s">
        <v>148</v>
      </c>
      <c r="D16" s="273" t="s">
        <v>160</v>
      </c>
      <c r="E16" s="274" t="s">
        <v>164</v>
      </c>
      <c r="F16" s="251" t="s">
        <v>162</v>
      </c>
      <c r="G16" s="251"/>
      <c r="H16" s="251"/>
      <c r="I16" s="249"/>
      <c r="AP16" s="110"/>
      <c r="AQ16" s="8"/>
      <c r="AR16" s="8"/>
      <c r="AS16" s="8"/>
      <c r="AT16" s="8"/>
      <c r="AU16" s="8"/>
      <c r="AV16" s="8"/>
      <c r="AW16" s="8"/>
      <c r="AX16" s="8"/>
      <c r="AY16" s="8"/>
    </row>
    <row r="17" spans="2:56" x14ac:dyDescent="0.25">
      <c r="C17" s="1568"/>
      <c r="D17" s="17" t="s">
        <v>135</v>
      </c>
      <c r="E17" s="254">
        <v>4</v>
      </c>
      <c r="F17" s="17" t="s">
        <v>136</v>
      </c>
      <c r="G17" s="17"/>
      <c r="H17" s="17"/>
      <c r="I17" s="195"/>
      <c r="AP17" s="110"/>
      <c r="AQ17" s="8"/>
      <c r="AR17" s="8"/>
      <c r="AS17" s="8"/>
      <c r="AT17" s="8"/>
      <c r="AU17" s="8"/>
      <c r="AV17" s="8"/>
      <c r="AW17" s="8"/>
      <c r="AX17" s="8"/>
      <c r="AY17" s="8"/>
    </row>
    <row r="18" spans="2:56" x14ac:dyDescent="0.25">
      <c r="C18" s="1568"/>
      <c r="D18" s="17" t="s">
        <v>5</v>
      </c>
      <c r="E18" s="18">
        <v>2</v>
      </c>
      <c r="F18" s="17" t="s">
        <v>139</v>
      </c>
      <c r="G18" s="17"/>
      <c r="H18" s="17"/>
      <c r="I18" s="195"/>
      <c r="AP18" s="110"/>
      <c r="AQ18" s="8"/>
      <c r="AR18" s="8"/>
      <c r="AS18" s="8"/>
      <c r="AT18" s="8"/>
      <c r="AU18" s="8"/>
      <c r="AV18" s="8"/>
      <c r="AW18" s="8"/>
      <c r="AX18" s="8"/>
      <c r="AY18" s="8"/>
    </row>
    <row r="19" spans="2:56" x14ac:dyDescent="0.25">
      <c r="C19" s="1568"/>
      <c r="D19" s="140" t="s">
        <v>151</v>
      </c>
      <c r="E19" s="18">
        <v>1</v>
      </c>
      <c r="F19" s="140" t="s">
        <v>179</v>
      </c>
      <c r="G19" s="17"/>
      <c r="H19" s="17"/>
      <c r="I19" s="195"/>
      <c r="AP19" s="110"/>
      <c r="AQ19" s="8"/>
      <c r="AR19" s="8"/>
      <c r="AS19" s="8"/>
      <c r="AT19" s="8"/>
      <c r="AU19" s="8"/>
      <c r="AV19" s="8"/>
      <c r="AW19" s="8"/>
      <c r="AX19" s="8"/>
      <c r="AY19" s="8"/>
    </row>
    <row r="20" spans="2:56" ht="15.75" thickBot="1" x14ac:dyDescent="0.3">
      <c r="C20" s="1569"/>
      <c r="D20" s="166" t="s">
        <v>137</v>
      </c>
      <c r="E20" s="275">
        <f>E18*E19*LN(E17)</f>
        <v>2.7725887222397811</v>
      </c>
      <c r="F20" s="166" t="s">
        <v>138</v>
      </c>
      <c r="G20" s="252"/>
      <c r="H20" s="252"/>
      <c r="I20" s="250"/>
      <c r="AP20" s="110"/>
      <c r="AQ20" s="8"/>
      <c r="AR20" s="8"/>
      <c r="AS20" s="8"/>
      <c r="AT20" s="8"/>
      <c r="AU20" s="8"/>
      <c r="AV20" s="8"/>
      <c r="AW20" s="8"/>
      <c r="AX20" s="8"/>
      <c r="AY20" s="8"/>
    </row>
    <row r="21" spans="2:56" x14ac:dyDescent="0.25">
      <c r="B21" s="7"/>
      <c r="AP21" s="110"/>
      <c r="AQ21" s="8"/>
      <c r="AR21" s="8"/>
      <c r="AS21" s="8"/>
      <c r="AT21" s="8"/>
      <c r="AU21" s="8"/>
      <c r="AV21" s="8"/>
      <c r="AW21" s="8"/>
      <c r="AX21" s="8"/>
      <c r="AY21" s="8"/>
    </row>
    <row r="22" spans="2:56" s="7" customFormat="1" ht="15.75" thickBot="1" x14ac:dyDescent="0.3">
      <c r="C22"/>
      <c r="D22"/>
      <c r="E22" s="33"/>
      <c r="F22" s="33"/>
      <c r="G22" s="33"/>
      <c r="H22" s="33"/>
      <c r="I22" s="33"/>
      <c r="J22" s="33"/>
      <c r="K22" s="33"/>
      <c r="L22" s="33"/>
      <c r="M22" s="33"/>
      <c r="N22" s="33"/>
      <c r="O22" s="33"/>
      <c r="P22" s="33"/>
      <c r="Q22" s="33"/>
      <c r="R22" s="33"/>
      <c r="S22" s="33"/>
      <c r="T22" s="33"/>
      <c r="U22" s="33"/>
      <c r="V22" s="33"/>
      <c r="W22" s="33"/>
      <c r="X22" s="33"/>
      <c r="Y22" s="33"/>
      <c r="Z22" s="33"/>
      <c r="AA22" s="33"/>
      <c r="AB22"/>
      <c r="AC22"/>
      <c r="AD22"/>
      <c r="AE22"/>
      <c r="AF22"/>
      <c r="AG22"/>
      <c r="AH22"/>
      <c r="AI22"/>
      <c r="AJ22" s="8"/>
      <c r="AP22" s="8"/>
      <c r="AQ22" s="8"/>
      <c r="AR22" s="8"/>
      <c r="AS22" s="8"/>
      <c r="AT22" s="8"/>
      <c r="AU22" s="8"/>
      <c r="AV22" s="8"/>
      <c r="AW22" s="8"/>
      <c r="AX22" s="8"/>
      <c r="AY22" s="8"/>
    </row>
    <row r="23" spans="2:56" s="7" customFormat="1" ht="24.75" customHeight="1" x14ac:dyDescent="0.3">
      <c r="D23"/>
      <c r="E23" s="199" t="s">
        <v>12</v>
      </c>
      <c r="F23" s="200"/>
      <c r="G23" s="200"/>
      <c r="H23" s="201"/>
      <c r="I23" s="199" t="s">
        <v>13</v>
      </c>
      <c r="J23" s="200"/>
      <c r="K23" s="200"/>
      <c r="L23" s="200"/>
      <c r="M23" s="199" t="s">
        <v>219</v>
      </c>
      <c r="N23" s="200"/>
      <c r="O23" s="200"/>
      <c r="P23" s="11"/>
      <c r="Q23" s="199" t="s">
        <v>222</v>
      </c>
      <c r="R23" s="200"/>
      <c r="S23" s="200"/>
      <c r="T23" s="11"/>
      <c r="U23" s="199" t="s">
        <v>231</v>
      </c>
      <c r="V23" s="200"/>
      <c r="W23" s="200"/>
      <c r="X23" s="201"/>
      <c r="Y23" s="199" t="s">
        <v>232</v>
      </c>
      <c r="Z23" s="200"/>
      <c r="AA23" s="200"/>
      <c r="AB23" s="201"/>
      <c r="AC23" s="199" t="s">
        <v>195</v>
      </c>
      <c r="AD23" s="200"/>
      <c r="AE23" s="200"/>
      <c r="AF23" s="11"/>
      <c r="AG23" s="62" t="s">
        <v>36</v>
      </c>
      <c r="AH23" s="63" t="s">
        <v>35</v>
      </c>
      <c r="AP23" s="8"/>
      <c r="AQ23" s="193"/>
      <c r="AR23" s="1699"/>
      <c r="AS23" s="1699"/>
      <c r="AT23" s="477"/>
      <c r="AU23" s="8"/>
      <c r="AV23" s="8"/>
      <c r="AW23" s="141"/>
      <c r="AX23" s="243"/>
      <c r="AY23" s="141"/>
    </row>
    <row r="24" spans="2:56" s="7" customFormat="1" ht="60.75" thickBot="1" x14ac:dyDescent="0.3">
      <c r="C24" s="32"/>
      <c r="D24" s="115" t="s">
        <v>45</v>
      </c>
      <c r="E24" s="247" t="str">
        <f>"S("&amp;$E$5&amp;", 0)"</f>
        <v>S(0, 0)</v>
      </c>
      <c r="F24" s="176" t="str">
        <f>"S("&amp;$E$5&amp;", 1)"</f>
        <v>S(0, 1)</v>
      </c>
      <c r="G24" s="173" t="str">
        <f>"S("&amp;$E$6&amp;", 0)"</f>
        <v>S(1000, 0)</v>
      </c>
      <c r="H24" s="313" t="str">
        <f>"S("&amp;$E$6&amp;", 1)"</f>
        <v>S(1000, 1)</v>
      </c>
      <c r="I24" s="247" t="str">
        <f>"P"&amp;(RIGHT(E24,LEN(E24)-1))</f>
        <v>P(0, 0)</v>
      </c>
      <c r="J24" s="176" t="str">
        <f>"P"&amp;(RIGHT(F24,LEN(F24)-1))</f>
        <v>P(0, 1)</v>
      </c>
      <c r="K24" s="173" t="str">
        <f>"P"&amp;(RIGHT(G24,LEN(G24)-1))</f>
        <v>P(1000, 0)</v>
      </c>
      <c r="L24" s="236" t="str">
        <f>"P"&amp;(RIGHT(H24,LEN(H24)-1))</f>
        <v>P(1000, 1)</v>
      </c>
      <c r="M24" s="516"/>
      <c r="N24" s="517" t="s">
        <v>205</v>
      </c>
      <c r="O24" s="518"/>
      <c r="P24" s="517" t="s">
        <v>206</v>
      </c>
      <c r="Q24" s="516" t="s">
        <v>233</v>
      </c>
      <c r="R24" s="517" t="s">
        <v>234</v>
      </c>
      <c r="S24" s="518" t="s">
        <v>235</v>
      </c>
      <c r="T24" s="517" t="s">
        <v>236</v>
      </c>
      <c r="U24" s="519" t="s">
        <v>201</v>
      </c>
      <c r="V24" s="517" t="s">
        <v>202</v>
      </c>
      <c r="W24" s="520" t="s">
        <v>203</v>
      </c>
      <c r="X24" s="521" t="s">
        <v>204</v>
      </c>
      <c r="Y24" s="519" t="s">
        <v>201</v>
      </c>
      <c r="Z24" s="517" t="s">
        <v>202</v>
      </c>
      <c r="AA24" s="520" t="s">
        <v>203</v>
      </c>
      <c r="AB24" s="521" t="s">
        <v>204</v>
      </c>
      <c r="AC24" s="247" t="str">
        <f>I24</f>
        <v>P(0, 0)</v>
      </c>
      <c r="AD24" s="176" t="str">
        <f>J24</f>
        <v>P(0, 1)</v>
      </c>
      <c r="AE24" s="173" t="str">
        <f>K24</f>
        <v>P(1000, 0)</v>
      </c>
      <c r="AF24" s="313" t="str">
        <f>L24</f>
        <v>P(1000, 1)</v>
      </c>
      <c r="AG24" s="294">
        <v>0</v>
      </c>
      <c r="AH24" s="43"/>
      <c r="AP24" s="8"/>
      <c r="AQ24" s="140"/>
      <c r="AR24" s="143"/>
      <c r="AS24" s="143"/>
      <c r="AT24" s="8"/>
      <c r="AU24" s="8"/>
      <c r="AV24" s="8"/>
      <c r="AW24" s="8"/>
      <c r="AX24" s="8"/>
      <c r="AY24" s="8"/>
    </row>
    <row r="25" spans="2:56" s="7" customFormat="1" ht="18" customHeight="1" thickTop="1" x14ac:dyDescent="0.25">
      <c r="D25" s="25">
        <v>1</v>
      </c>
      <c r="E25" s="314">
        <v>0</v>
      </c>
      <c r="F25" s="214">
        <v>0</v>
      </c>
      <c r="G25" s="213">
        <v>0</v>
      </c>
      <c r="H25" s="315">
        <v>0</v>
      </c>
      <c r="I25" s="324">
        <f t="shared" ref="I25:L49" si="0">EXP(E25/$E$18)/(EXP($E25/$E$18)+EXP($F25/$E$18)+EXP($G25/$E$18)+EXP($H25/$E$18))</f>
        <v>0.25</v>
      </c>
      <c r="J25" s="210">
        <f t="shared" si="0"/>
        <v>0.25</v>
      </c>
      <c r="K25" s="209">
        <f t="shared" si="0"/>
        <v>0.25</v>
      </c>
      <c r="L25" s="522">
        <f t="shared" si="0"/>
        <v>0.25</v>
      </c>
      <c r="M25" s="523">
        <f>1-N25</f>
        <v>0.5</v>
      </c>
      <c r="N25" s="524">
        <f>SUM(J25,L25)</f>
        <v>0.5</v>
      </c>
      <c r="O25" s="525">
        <f>1-P25</f>
        <v>0.5</v>
      </c>
      <c r="P25" s="526">
        <f>SUM(K25:L25)</f>
        <v>0.5</v>
      </c>
      <c r="Q25" s="523">
        <f>M25*$E$7</f>
        <v>500</v>
      </c>
      <c r="R25" s="524">
        <f>N25*$E$7</f>
        <v>500</v>
      </c>
      <c r="S25" s="525">
        <f>O25*1</f>
        <v>0.5</v>
      </c>
      <c r="T25" s="526">
        <f>P25*1</f>
        <v>0.5</v>
      </c>
      <c r="U25" s="523">
        <f>IFERROR( K25/SUM(I25,K25), 0)</f>
        <v>0.5</v>
      </c>
      <c r="V25" s="524">
        <f>IFERROR( L25/SUM(J25,L25), 0)</f>
        <v>0.5</v>
      </c>
      <c r="W25" s="525">
        <f t="shared" ref="W25:W50" si="1">IFERROR( J25/SUM(J25,I25), 0)</f>
        <v>0.5</v>
      </c>
      <c r="X25" s="526">
        <f>IFERROR( SUM(L25/SUM(K25:L25)), 0)</f>
        <v>0.5</v>
      </c>
      <c r="Y25" s="523">
        <f t="shared" ref="Y25:Z28" si="2">$E$5+U25*$E$7</f>
        <v>500</v>
      </c>
      <c r="Z25" s="524">
        <f t="shared" si="2"/>
        <v>500</v>
      </c>
      <c r="AA25" s="525">
        <f t="shared" ref="AA25:AB28" si="3">W25</f>
        <v>0.5</v>
      </c>
      <c r="AB25" s="526">
        <f t="shared" si="3"/>
        <v>0.5</v>
      </c>
      <c r="AC25" s="330">
        <f>SUM(Q25,S25)</f>
        <v>500.5</v>
      </c>
      <c r="AD25" s="235">
        <f>SUM(Q25,T25)</f>
        <v>500.5</v>
      </c>
      <c r="AE25" s="234">
        <f>SUM(R25,S25)</f>
        <v>500.5</v>
      </c>
      <c r="AF25" s="331">
        <f>SUM(R25,T25)</f>
        <v>500.5</v>
      </c>
      <c r="AG25" s="534">
        <f>$E$18*$E$19*LN(EXP($E25/$E$18) + EXP($F25/$E$18) + EXP($G25/$E$18) +EXP($H25/$E$18) )</f>
        <v>2.7725887222397811</v>
      </c>
      <c r="AH25" s="535">
        <f>(AG25-AG24)</f>
        <v>2.7725887222397811</v>
      </c>
      <c r="AP25" s="8"/>
      <c r="AQ25" s="194"/>
      <c r="AR25" s="8"/>
      <c r="AS25" s="8"/>
      <c r="AT25" s="8"/>
      <c r="AU25" s="8"/>
      <c r="AV25" s="8"/>
      <c r="AW25" s="8"/>
      <c r="AX25" s="8"/>
      <c r="AY25" s="8"/>
      <c r="AZ25" s="187"/>
      <c r="BA25" s="187"/>
      <c r="BD25" s="187"/>
    </row>
    <row r="26" spans="2:56" s="7" customFormat="1" ht="18.75" x14ac:dyDescent="0.3">
      <c r="D26" s="25">
        <v>2</v>
      </c>
      <c r="E26" s="316">
        <v>1</v>
      </c>
      <c r="F26" s="232">
        <v>1</v>
      </c>
      <c r="G26" s="231">
        <v>1</v>
      </c>
      <c r="H26" s="317">
        <v>1</v>
      </c>
      <c r="I26" s="326">
        <f t="shared" si="0"/>
        <v>0.25</v>
      </c>
      <c r="J26" s="228">
        <f t="shared" si="0"/>
        <v>0.25</v>
      </c>
      <c r="K26" s="227">
        <f t="shared" si="0"/>
        <v>0.25</v>
      </c>
      <c r="L26" s="226">
        <f t="shared" si="0"/>
        <v>0.25</v>
      </c>
      <c r="M26" s="487">
        <f t="shared" ref="M26:M49" si="4">1-N26</f>
        <v>0.5</v>
      </c>
      <c r="N26" s="511">
        <f t="shared" ref="N26:N49" si="5">SUM(J26,L26)</f>
        <v>0.5</v>
      </c>
      <c r="O26" s="510">
        <f t="shared" ref="O26:O49" si="6">1-P26</f>
        <v>0.5</v>
      </c>
      <c r="P26" s="473">
        <f t="shared" ref="P26:P49" si="7">SUM(K26:L26)</f>
        <v>0.5</v>
      </c>
      <c r="Q26" s="487">
        <f t="shared" ref="Q26:Q49" si="8">M26*$E$7</f>
        <v>500</v>
      </c>
      <c r="R26" s="511">
        <f t="shared" ref="R26:R50" si="9">N26*$E$7</f>
        <v>500</v>
      </c>
      <c r="S26" s="510">
        <f t="shared" ref="S26:S49" si="10">O26*1</f>
        <v>0.5</v>
      </c>
      <c r="T26" s="473">
        <f t="shared" ref="T26:T50" si="11">P26*1</f>
        <v>0.5</v>
      </c>
      <c r="U26" s="487">
        <f t="shared" ref="U26:U50" si="12">IFERROR( K26/SUM(I26,K26), 0)</f>
        <v>0.5</v>
      </c>
      <c r="V26" s="511">
        <f t="shared" ref="V26:V50" si="13">IFERROR( L26/SUM(J26,L26), 0)</f>
        <v>0.5</v>
      </c>
      <c r="W26" s="510">
        <f t="shared" si="1"/>
        <v>0.5</v>
      </c>
      <c r="X26" s="473">
        <f t="shared" ref="X26:X50" si="14">IFERROR( SUM(L26/SUM(K26:L26)), 0)</f>
        <v>0.5</v>
      </c>
      <c r="Y26" s="487">
        <f t="shared" si="2"/>
        <v>500</v>
      </c>
      <c r="Z26" s="511">
        <f t="shared" si="2"/>
        <v>500</v>
      </c>
      <c r="AA26" s="510">
        <f t="shared" si="3"/>
        <v>0.5</v>
      </c>
      <c r="AB26" s="473">
        <f t="shared" si="3"/>
        <v>0.5</v>
      </c>
      <c r="AC26" s="332">
        <f>SUM(Q26,S26)</f>
        <v>500.5</v>
      </c>
      <c r="AD26" s="217">
        <f>SUM(Q26,T26)</f>
        <v>500.5</v>
      </c>
      <c r="AE26" s="216">
        <f>SUM(R26,S26)</f>
        <v>500.5</v>
      </c>
      <c r="AF26" s="333">
        <f t="shared" ref="AF26:AF50" si="15">SUM(R26,T26)</f>
        <v>500.5</v>
      </c>
      <c r="AG26" s="536">
        <f>$E$18*$E$19*LN(EXP($E26/$E$18) + EXP($F26/$E$18) + EXP($G26/$E$18) +EXP($H26/$E$18) )</f>
        <v>3.7725887222397811</v>
      </c>
      <c r="AH26" s="537">
        <f>(AG26-AG25)</f>
        <v>1</v>
      </c>
      <c r="AP26" s="8"/>
      <c r="AQ26" s="194"/>
      <c r="AR26" s="8"/>
      <c r="AS26" s="8"/>
      <c r="AT26" s="478"/>
      <c r="AU26" s="8"/>
      <c r="AV26" s="8"/>
      <c r="AW26" s="8"/>
      <c r="AX26" s="243"/>
      <c r="AY26" s="8"/>
      <c r="AZ26" s="187"/>
      <c r="BA26" s="187"/>
    </row>
    <row r="27" spans="2:56" s="7" customFormat="1" ht="18.75" x14ac:dyDescent="0.3">
      <c r="C27" s="21"/>
      <c r="D27" s="25">
        <v>3</v>
      </c>
      <c r="E27" s="316">
        <v>2</v>
      </c>
      <c r="F27" s="232">
        <v>1</v>
      </c>
      <c r="G27" s="231">
        <v>2</v>
      </c>
      <c r="H27" s="317">
        <v>1</v>
      </c>
      <c r="I27" s="326">
        <f t="shared" si="0"/>
        <v>0.31122966560092724</v>
      </c>
      <c r="J27" s="228">
        <f t="shared" si="0"/>
        <v>0.1887703343990727</v>
      </c>
      <c r="K27" s="227">
        <f t="shared" si="0"/>
        <v>0.31122966560092724</v>
      </c>
      <c r="L27" s="226">
        <f t="shared" si="0"/>
        <v>0.1887703343990727</v>
      </c>
      <c r="M27" s="487">
        <f t="shared" si="4"/>
        <v>0.62245933120185459</v>
      </c>
      <c r="N27" s="511">
        <f t="shared" si="5"/>
        <v>0.37754066879814541</v>
      </c>
      <c r="O27" s="510">
        <f t="shared" si="6"/>
        <v>0.5</v>
      </c>
      <c r="P27" s="473">
        <f t="shared" si="7"/>
        <v>0.49999999999999994</v>
      </c>
      <c r="Q27" s="487">
        <f t="shared" si="8"/>
        <v>622.45933120185464</v>
      </c>
      <c r="R27" s="511">
        <f t="shared" si="9"/>
        <v>377.54066879814542</v>
      </c>
      <c r="S27" s="510">
        <f t="shared" si="10"/>
        <v>0.5</v>
      </c>
      <c r="T27" s="473">
        <f t="shared" si="11"/>
        <v>0.49999999999999994</v>
      </c>
      <c r="U27" s="487">
        <f t="shared" si="12"/>
        <v>0.5</v>
      </c>
      <c r="V27" s="511">
        <f t="shared" si="13"/>
        <v>0.5</v>
      </c>
      <c r="W27" s="510">
        <f t="shared" si="1"/>
        <v>0.37754066879814546</v>
      </c>
      <c r="X27" s="473">
        <f t="shared" si="14"/>
        <v>0.37754066879814546</v>
      </c>
      <c r="Y27" s="487">
        <f t="shared" si="2"/>
        <v>500</v>
      </c>
      <c r="Z27" s="511">
        <f t="shared" si="2"/>
        <v>500</v>
      </c>
      <c r="AA27" s="510">
        <f t="shared" si="3"/>
        <v>0.37754066879814546</v>
      </c>
      <c r="AB27" s="473">
        <f t="shared" si="3"/>
        <v>0.37754066879814546</v>
      </c>
      <c r="AC27" s="332">
        <f t="shared" ref="AC27:AC49" si="16">SUM(Q27,S27)</f>
        <v>622.95933120185464</v>
      </c>
      <c r="AD27" s="217">
        <f t="shared" ref="AD27:AD49" si="17">SUM(Q27,T27)</f>
        <v>622.95933120185464</v>
      </c>
      <c r="AE27" s="216">
        <f t="shared" ref="AE27:AE50" si="18">SUM(R27,S27)</f>
        <v>378.04066879814542</v>
      </c>
      <c r="AF27" s="333">
        <f t="shared" si="15"/>
        <v>378.04066879814542</v>
      </c>
      <c r="AG27" s="536">
        <f t="shared" ref="AG27:AG50" si="19">$E$18*$E$19*LN(EXP($E27/$E$18) + EXP($F27/$E$18) + EXP($G27/$E$18) +EXP($H27/$E$18) )</f>
        <v>4.3344483294801037</v>
      </c>
      <c r="AH27" s="537">
        <f>(AG27-AG26)</f>
        <v>0.56185960724032258</v>
      </c>
      <c r="AP27" s="8"/>
      <c r="AQ27" s="194"/>
      <c r="AR27" s="8"/>
      <c r="AS27" s="8"/>
      <c r="AT27" s="478"/>
      <c r="AU27" s="8"/>
      <c r="AV27" s="8"/>
      <c r="AW27" s="8"/>
      <c r="AX27" s="243"/>
      <c r="AY27" s="8"/>
      <c r="AZ27" s="187"/>
      <c r="BA27" s="187"/>
    </row>
    <row r="28" spans="2:56" s="7" customFormat="1" ht="18.75" x14ac:dyDescent="0.3">
      <c r="C28" s="21"/>
      <c r="D28" s="25">
        <v>4</v>
      </c>
      <c r="E28" s="316">
        <v>4</v>
      </c>
      <c r="F28" s="232">
        <v>5</v>
      </c>
      <c r="G28" s="231">
        <v>6</v>
      </c>
      <c r="H28" s="317">
        <v>8</v>
      </c>
      <c r="I28" s="326">
        <f t="shared" si="0"/>
        <v>7.8394117216839712E-2</v>
      </c>
      <c r="J28" s="228">
        <f t="shared" si="0"/>
        <v>0.12925004855316277</v>
      </c>
      <c r="K28" s="227">
        <f t="shared" si="0"/>
        <v>0.21309730428862378</v>
      </c>
      <c r="L28" s="226">
        <f t="shared" si="0"/>
        <v>0.57925852994137372</v>
      </c>
      <c r="M28" s="487">
        <f t="shared" si="4"/>
        <v>0.29149142150546348</v>
      </c>
      <c r="N28" s="511">
        <f t="shared" si="5"/>
        <v>0.70850857849453652</v>
      </c>
      <c r="O28" s="510">
        <f t="shared" si="6"/>
        <v>0.20764416577000255</v>
      </c>
      <c r="P28" s="473">
        <f t="shared" si="7"/>
        <v>0.79235583422999745</v>
      </c>
      <c r="Q28" s="487">
        <f t="shared" si="8"/>
        <v>291.49142150546345</v>
      </c>
      <c r="R28" s="511">
        <f t="shared" si="9"/>
        <v>708.50857849453655</v>
      </c>
      <c r="S28" s="510">
        <f t="shared" si="10"/>
        <v>0.20764416577000255</v>
      </c>
      <c r="T28" s="473">
        <f t="shared" si="11"/>
        <v>0.79235583422999745</v>
      </c>
      <c r="U28" s="487">
        <f t="shared" si="12"/>
        <v>0.7310585786300049</v>
      </c>
      <c r="V28" s="511">
        <f t="shared" si="13"/>
        <v>0.81757447619364365</v>
      </c>
      <c r="W28" s="510">
        <f t="shared" si="1"/>
        <v>0.62245933120185459</v>
      </c>
      <c r="X28" s="473">
        <f t="shared" si="14"/>
        <v>0.7310585786300049</v>
      </c>
      <c r="Y28" s="487">
        <f t="shared" si="2"/>
        <v>731.05857863000494</v>
      </c>
      <c r="Z28" s="511">
        <f t="shared" si="2"/>
        <v>817.5744761936437</v>
      </c>
      <c r="AA28" s="510">
        <f t="shared" si="3"/>
        <v>0.62245933120185459</v>
      </c>
      <c r="AB28" s="473">
        <f t="shared" si="3"/>
        <v>0.7310585786300049</v>
      </c>
      <c r="AC28" s="332">
        <f t="shared" si="16"/>
        <v>291.69906567123343</v>
      </c>
      <c r="AD28" s="217">
        <f t="shared" si="17"/>
        <v>292.28377733969347</v>
      </c>
      <c r="AE28" s="216">
        <f t="shared" si="18"/>
        <v>708.71622266030658</v>
      </c>
      <c r="AF28" s="333">
        <f t="shared" si="15"/>
        <v>709.30093432876652</v>
      </c>
      <c r="AG28" s="536">
        <f t="shared" si="19"/>
        <v>9.092012779881145</v>
      </c>
      <c r="AH28" s="537">
        <f>(AG28-AG27)</f>
        <v>4.7575644504010413</v>
      </c>
      <c r="AP28" s="8"/>
      <c r="AQ28" s="194"/>
      <c r="AR28" s="8"/>
      <c r="AS28" s="8"/>
      <c r="AT28" s="478"/>
      <c r="AU28" s="8"/>
      <c r="AV28" s="8"/>
      <c r="AW28" s="8"/>
      <c r="AX28" s="243"/>
      <c r="AY28" s="8"/>
      <c r="AZ28" s="187"/>
      <c r="BA28" s="187"/>
    </row>
    <row r="29" spans="2:56" s="7" customFormat="1" ht="18.75" x14ac:dyDescent="0.3">
      <c r="C29" s="21"/>
      <c r="D29" s="25">
        <v>5</v>
      </c>
      <c r="E29" s="316">
        <v>5</v>
      </c>
      <c r="F29" s="232">
        <v>7</v>
      </c>
      <c r="G29" s="231">
        <v>6</v>
      </c>
      <c r="H29" s="317">
        <v>6</v>
      </c>
      <c r="I29" s="326">
        <f t="shared" si="0"/>
        <v>0.14253695659655094</v>
      </c>
      <c r="J29" s="228">
        <f t="shared" si="0"/>
        <v>0.38745561900026004</v>
      </c>
      <c r="K29" s="227">
        <f t="shared" si="0"/>
        <v>0.23500371220159449</v>
      </c>
      <c r="L29" s="226">
        <f t="shared" si="0"/>
        <v>0.23500371220159449</v>
      </c>
      <c r="M29" s="487">
        <f t="shared" si="4"/>
        <v>0.37754066879814552</v>
      </c>
      <c r="N29" s="511">
        <f t="shared" si="5"/>
        <v>0.62245933120185448</v>
      </c>
      <c r="O29" s="510">
        <f t="shared" si="6"/>
        <v>0.52999257559681101</v>
      </c>
      <c r="P29" s="473">
        <f t="shared" si="7"/>
        <v>0.47000742440318899</v>
      </c>
      <c r="Q29" s="487">
        <f t="shared" si="8"/>
        <v>377.54066879814553</v>
      </c>
      <c r="R29" s="511">
        <f t="shared" si="9"/>
        <v>622.45933120185452</v>
      </c>
      <c r="S29" s="510">
        <f t="shared" si="10"/>
        <v>0.52999257559681101</v>
      </c>
      <c r="T29" s="473">
        <f t="shared" si="11"/>
        <v>0.47000742440318899</v>
      </c>
      <c r="U29" s="487">
        <f t="shared" si="12"/>
        <v>0.62245933120185459</v>
      </c>
      <c r="V29" s="511">
        <f t="shared" si="13"/>
        <v>0.37754066879814552</v>
      </c>
      <c r="W29" s="510">
        <f t="shared" si="1"/>
        <v>0.73105857863000479</v>
      </c>
      <c r="X29" s="473">
        <f t="shared" si="14"/>
        <v>0.5</v>
      </c>
      <c r="Y29" s="487">
        <f t="shared" ref="Y29:Y50" si="20">$E$5+U29*$E$7</f>
        <v>622.45933120185464</v>
      </c>
      <c r="Z29" s="511">
        <f t="shared" ref="Z29:Z50" si="21">$E$5+V29*$E$7</f>
        <v>377.54066879814553</v>
      </c>
      <c r="AA29" s="510">
        <f t="shared" ref="AA29:AA50" si="22">W29</f>
        <v>0.73105857863000479</v>
      </c>
      <c r="AB29" s="473">
        <f t="shared" ref="AB29:AB50" si="23">X29</f>
        <v>0.5</v>
      </c>
      <c r="AC29" s="332">
        <f t="shared" si="16"/>
        <v>378.07066137374233</v>
      </c>
      <c r="AD29" s="217">
        <f t="shared" si="17"/>
        <v>378.01067622254874</v>
      </c>
      <c r="AE29" s="216">
        <f t="shared" si="18"/>
        <v>622.98932377745132</v>
      </c>
      <c r="AF29" s="333">
        <f t="shared" si="15"/>
        <v>622.92933862625773</v>
      </c>
      <c r="AG29" s="536">
        <f t="shared" si="19"/>
        <v>8.8963079367204259</v>
      </c>
      <c r="AH29" s="537">
        <f t="shared" ref="AH29:AH49" si="24">(AG29-AG28)</f>
        <v>-0.19570484316071912</v>
      </c>
      <c r="AP29" s="8"/>
      <c r="AQ29" s="194"/>
      <c r="AR29" s="8"/>
      <c r="AS29" s="8"/>
      <c r="AT29" s="478"/>
      <c r="AU29" s="8"/>
      <c r="AV29" s="8"/>
      <c r="AW29" s="8"/>
      <c r="AX29" s="243"/>
      <c r="AY29" s="8"/>
      <c r="AZ29" s="187"/>
      <c r="BA29" s="187"/>
    </row>
    <row r="30" spans="2:56" s="7" customFormat="1" ht="18.75" x14ac:dyDescent="0.3">
      <c r="C30" s="21"/>
      <c r="D30" s="25">
        <v>6</v>
      </c>
      <c r="E30" s="316">
        <v>6</v>
      </c>
      <c r="F30" s="232">
        <v>8</v>
      </c>
      <c r="G30" s="231">
        <v>12</v>
      </c>
      <c r="H30" s="317">
        <v>6</v>
      </c>
      <c r="I30" s="326">
        <f t="shared" si="0"/>
        <v>4.031637265264288E-2</v>
      </c>
      <c r="J30" s="228">
        <f t="shared" si="0"/>
        <v>0.10959126317106233</v>
      </c>
      <c r="K30" s="227">
        <f t="shared" si="0"/>
        <v>0.80977599152365198</v>
      </c>
      <c r="L30" s="226">
        <f t="shared" si="0"/>
        <v>4.031637265264288E-2</v>
      </c>
      <c r="M30" s="487">
        <f t="shared" si="4"/>
        <v>0.85009236417629475</v>
      </c>
      <c r="N30" s="511">
        <f t="shared" si="5"/>
        <v>0.1499076358237052</v>
      </c>
      <c r="O30" s="510">
        <f t="shared" si="6"/>
        <v>0.14990763582370514</v>
      </c>
      <c r="P30" s="473">
        <f t="shared" si="7"/>
        <v>0.85009236417629486</v>
      </c>
      <c r="Q30" s="487">
        <f t="shared" si="8"/>
        <v>850.09236417629472</v>
      </c>
      <c r="R30" s="511">
        <f t="shared" si="9"/>
        <v>149.90763582370519</v>
      </c>
      <c r="S30" s="510">
        <f t="shared" si="10"/>
        <v>0.14990763582370514</v>
      </c>
      <c r="T30" s="473">
        <f t="shared" si="11"/>
        <v>0.85009236417629486</v>
      </c>
      <c r="U30" s="487">
        <f t="shared" si="12"/>
        <v>0.95257412682243325</v>
      </c>
      <c r="V30" s="511">
        <f t="shared" si="13"/>
        <v>0.26894142136999516</v>
      </c>
      <c r="W30" s="510">
        <f t="shared" si="1"/>
        <v>0.7310585786300049</v>
      </c>
      <c r="X30" s="473">
        <f t="shared" si="14"/>
        <v>4.7425873177566788E-2</v>
      </c>
      <c r="Y30" s="487">
        <f t="shared" si="20"/>
        <v>952.5741268224333</v>
      </c>
      <c r="Z30" s="511">
        <f t="shared" si="21"/>
        <v>268.94142136999517</v>
      </c>
      <c r="AA30" s="510">
        <f t="shared" si="22"/>
        <v>0.7310585786300049</v>
      </c>
      <c r="AB30" s="473">
        <f t="shared" si="23"/>
        <v>4.7425873177566788E-2</v>
      </c>
      <c r="AC30" s="332">
        <f t="shared" si="16"/>
        <v>850.24227181211847</v>
      </c>
      <c r="AD30" s="217">
        <f t="shared" si="17"/>
        <v>850.94245654047097</v>
      </c>
      <c r="AE30" s="216">
        <f t="shared" si="18"/>
        <v>150.05754345952889</v>
      </c>
      <c r="AF30" s="333">
        <f t="shared" si="15"/>
        <v>150.7577281878815</v>
      </c>
      <c r="AG30" s="536">
        <f t="shared" si="19"/>
        <v>12.421995246476351</v>
      </c>
      <c r="AH30" s="537">
        <f t="shared" si="24"/>
        <v>3.5256873097559254</v>
      </c>
      <c r="AP30" s="8"/>
      <c r="AQ30" s="194"/>
      <c r="AR30" s="8"/>
      <c r="AS30" s="8"/>
      <c r="AT30" s="478"/>
      <c r="AU30" s="8"/>
      <c r="AV30" s="8"/>
      <c r="AW30" s="8"/>
      <c r="AX30" s="243"/>
      <c r="AY30" s="8"/>
      <c r="AZ30" s="187"/>
      <c r="BA30" s="187"/>
    </row>
    <row r="31" spans="2:56" s="7" customFormat="1" ht="18.75" x14ac:dyDescent="0.3">
      <c r="C31" s="21"/>
      <c r="D31" s="25">
        <v>7</v>
      </c>
      <c r="E31" s="316">
        <v>2</v>
      </c>
      <c r="F31" s="232">
        <v>10</v>
      </c>
      <c r="G31" s="231">
        <v>11</v>
      </c>
      <c r="H31" s="317">
        <v>10</v>
      </c>
      <c r="I31" s="326">
        <f t="shared" si="0"/>
        <v>4.9946699038782441E-3</v>
      </c>
      <c r="J31" s="228">
        <f t="shared" si="0"/>
        <v>0.27269973677797449</v>
      </c>
      <c r="K31" s="227">
        <f t="shared" si="0"/>
        <v>0.4496058565401726</v>
      </c>
      <c r="L31" s="226">
        <f t="shared" si="0"/>
        <v>0.27269973677797449</v>
      </c>
      <c r="M31" s="487">
        <f t="shared" si="4"/>
        <v>0.45460052644405102</v>
      </c>
      <c r="N31" s="511">
        <f t="shared" si="5"/>
        <v>0.54539947355594898</v>
      </c>
      <c r="O31" s="510">
        <f t="shared" si="6"/>
        <v>0.27769440668185297</v>
      </c>
      <c r="P31" s="473">
        <f t="shared" si="7"/>
        <v>0.72230559331814703</v>
      </c>
      <c r="Q31" s="487">
        <f t="shared" si="8"/>
        <v>454.60052644405101</v>
      </c>
      <c r="R31" s="511">
        <f t="shared" si="9"/>
        <v>545.39947355594893</v>
      </c>
      <c r="S31" s="510">
        <f t="shared" si="10"/>
        <v>0.27769440668185297</v>
      </c>
      <c r="T31" s="473">
        <f t="shared" si="11"/>
        <v>0.72230559331814703</v>
      </c>
      <c r="U31" s="487">
        <f t="shared" si="12"/>
        <v>0.98901305736940681</v>
      </c>
      <c r="V31" s="511">
        <f t="shared" si="13"/>
        <v>0.5</v>
      </c>
      <c r="W31" s="510">
        <f t="shared" si="1"/>
        <v>0.98201379003790834</v>
      </c>
      <c r="X31" s="473">
        <f t="shared" si="14"/>
        <v>0.37754066879814546</v>
      </c>
      <c r="Y31" s="487">
        <f t="shared" si="20"/>
        <v>989.01305736940685</v>
      </c>
      <c r="Z31" s="511">
        <f t="shared" si="21"/>
        <v>500</v>
      </c>
      <c r="AA31" s="510">
        <f t="shared" si="22"/>
        <v>0.98201379003790834</v>
      </c>
      <c r="AB31" s="473">
        <f t="shared" si="23"/>
        <v>0.37754066879814546</v>
      </c>
      <c r="AC31" s="332">
        <f t="shared" si="16"/>
        <v>454.87822085073287</v>
      </c>
      <c r="AD31" s="217">
        <f t="shared" si="17"/>
        <v>455.32283203736915</v>
      </c>
      <c r="AE31" s="216">
        <f t="shared" si="18"/>
        <v>545.67716796263073</v>
      </c>
      <c r="AF31" s="333">
        <f t="shared" si="15"/>
        <v>546.12177914926713</v>
      </c>
      <c r="AG31" s="536">
        <f t="shared" si="19"/>
        <v>12.598767908750023</v>
      </c>
      <c r="AH31" s="537">
        <f t="shared" si="24"/>
        <v>0.17677266227367205</v>
      </c>
      <c r="AP31" s="8"/>
      <c r="AQ31" s="194"/>
      <c r="AR31" s="8"/>
      <c r="AS31" s="8"/>
      <c r="AT31" s="478"/>
      <c r="AU31" s="8"/>
      <c r="AV31" s="8"/>
      <c r="AW31" s="8"/>
      <c r="AX31" s="243"/>
      <c r="AY31" s="8"/>
      <c r="AZ31" s="187"/>
      <c r="BA31" s="187"/>
    </row>
    <row r="32" spans="2:56" s="7" customFormat="1" ht="18.75" x14ac:dyDescent="0.3">
      <c r="C32" s="21"/>
      <c r="D32" s="25">
        <v>8</v>
      </c>
      <c r="E32" s="316">
        <v>3</v>
      </c>
      <c r="F32" s="232">
        <v>12</v>
      </c>
      <c r="G32" s="231">
        <f>G31</f>
        <v>11</v>
      </c>
      <c r="H32" s="317">
        <f>H31</f>
        <v>10</v>
      </c>
      <c r="I32" s="326">
        <f t="shared" si="0"/>
        <v>5.5950086567610746E-3</v>
      </c>
      <c r="J32" s="228">
        <f t="shared" si="0"/>
        <v>0.50364662888321787</v>
      </c>
      <c r="K32" s="227">
        <f t="shared" si="0"/>
        <v>0.30547712207858196</v>
      </c>
      <c r="L32" s="226">
        <f t="shared" si="0"/>
        <v>0.18528124038143898</v>
      </c>
      <c r="M32" s="487">
        <f t="shared" si="4"/>
        <v>0.31107213073534312</v>
      </c>
      <c r="N32" s="511">
        <f t="shared" si="5"/>
        <v>0.68892786926465688</v>
      </c>
      <c r="O32" s="510">
        <f t="shared" si="6"/>
        <v>0.50924163753997909</v>
      </c>
      <c r="P32" s="473">
        <f t="shared" si="7"/>
        <v>0.49075836246002091</v>
      </c>
      <c r="Q32" s="487">
        <f t="shared" si="8"/>
        <v>311.07213073534314</v>
      </c>
      <c r="R32" s="511">
        <f t="shared" si="9"/>
        <v>688.92786926465692</v>
      </c>
      <c r="S32" s="510">
        <f t="shared" si="10"/>
        <v>0.50924163753997909</v>
      </c>
      <c r="T32" s="473">
        <f t="shared" si="11"/>
        <v>0.49075836246002091</v>
      </c>
      <c r="U32" s="487">
        <f t="shared" si="12"/>
        <v>0.98201379003790856</v>
      </c>
      <c r="V32" s="511">
        <f t="shared" si="13"/>
        <v>0.2689414213699951</v>
      </c>
      <c r="W32" s="510">
        <f t="shared" si="1"/>
        <v>0.98901305736940681</v>
      </c>
      <c r="X32" s="473">
        <f t="shared" si="14"/>
        <v>0.37754066879814546</v>
      </c>
      <c r="Y32" s="487">
        <f t="shared" si="20"/>
        <v>982.01379003790851</v>
      </c>
      <c r="Z32" s="511">
        <f t="shared" si="21"/>
        <v>268.94142136999511</v>
      </c>
      <c r="AA32" s="510">
        <f t="shared" si="22"/>
        <v>0.98901305736940681</v>
      </c>
      <c r="AB32" s="473">
        <f t="shared" si="23"/>
        <v>0.37754066879814546</v>
      </c>
      <c r="AC32" s="332">
        <f t="shared" si="16"/>
        <v>311.5813723728831</v>
      </c>
      <c r="AD32" s="217">
        <f t="shared" si="17"/>
        <v>311.56288909780318</v>
      </c>
      <c r="AE32" s="216">
        <f t="shared" si="18"/>
        <v>689.43711090219688</v>
      </c>
      <c r="AF32" s="333">
        <f t="shared" si="15"/>
        <v>689.41862762711696</v>
      </c>
      <c r="AG32" s="536">
        <f t="shared" si="19"/>
        <v>13.371760779975594</v>
      </c>
      <c r="AH32" s="537">
        <f t="shared" si="24"/>
        <v>0.77299287122557025</v>
      </c>
      <c r="AP32" s="8"/>
      <c r="AQ32" s="194"/>
      <c r="AR32" s="8"/>
      <c r="AS32" s="8"/>
      <c r="AT32" s="478"/>
      <c r="AU32" s="8"/>
      <c r="AV32" s="8"/>
      <c r="AW32" s="8"/>
      <c r="AX32" s="243"/>
      <c r="AY32" s="8"/>
      <c r="AZ32" s="187"/>
      <c r="BA32" s="187"/>
    </row>
    <row r="33" spans="3:53" s="7" customFormat="1" ht="18.75" x14ac:dyDescent="0.3">
      <c r="C33" s="21"/>
      <c r="D33" s="25">
        <v>9</v>
      </c>
      <c r="E33" s="316">
        <v>3</v>
      </c>
      <c r="F33" s="232">
        <v>13</v>
      </c>
      <c r="G33" s="231">
        <v>13</v>
      </c>
      <c r="H33" s="317">
        <v>12</v>
      </c>
      <c r="I33" s="326">
        <f t="shared" si="0"/>
        <v>2.5783599059737831E-3</v>
      </c>
      <c r="J33" s="228">
        <f t="shared" si="0"/>
        <v>0.38266253894899155</v>
      </c>
      <c r="K33" s="227">
        <f t="shared" si="0"/>
        <v>0.38266253894899155</v>
      </c>
      <c r="L33" s="226">
        <f t="shared" si="0"/>
        <v>0.23209656219604313</v>
      </c>
      <c r="M33" s="487">
        <f t="shared" si="4"/>
        <v>0.38524089885496537</v>
      </c>
      <c r="N33" s="511">
        <f t="shared" si="5"/>
        <v>0.61475910114503463</v>
      </c>
      <c r="O33" s="510">
        <f t="shared" si="6"/>
        <v>0.38524089885496537</v>
      </c>
      <c r="P33" s="473">
        <f t="shared" si="7"/>
        <v>0.61475910114503463</v>
      </c>
      <c r="Q33" s="487">
        <f t="shared" si="8"/>
        <v>385.24089885496539</v>
      </c>
      <c r="R33" s="511">
        <f t="shared" si="9"/>
        <v>614.75910114503461</v>
      </c>
      <c r="S33" s="510">
        <f t="shared" si="10"/>
        <v>0.38524089885496537</v>
      </c>
      <c r="T33" s="473">
        <f t="shared" si="11"/>
        <v>0.61475910114503463</v>
      </c>
      <c r="U33" s="487">
        <f t="shared" si="12"/>
        <v>0.99330714907571516</v>
      </c>
      <c r="V33" s="511">
        <f t="shared" si="13"/>
        <v>0.37754066879814546</v>
      </c>
      <c r="W33" s="510">
        <f t="shared" si="1"/>
        <v>0.99330714907571516</v>
      </c>
      <c r="X33" s="473">
        <f t="shared" si="14"/>
        <v>0.37754066879814546</v>
      </c>
      <c r="Y33" s="487">
        <f t="shared" si="20"/>
        <v>993.30714907571519</v>
      </c>
      <c r="Z33" s="511">
        <f t="shared" si="21"/>
        <v>377.54066879814548</v>
      </c>
      <c r="AA33" s="510">
        <f t="shared" si="22"/>
        <v>0.99330714907571516</v>
      </c>
      <c r="AB33" s="473">
        <f t="shared" si="23"/>
        <v>0.37754066879814546</v>
      </c>
      <c r="AC33" s="332">
        <f t="shared" si="16"/>
        <v>385.62613975382038</v>
      </c>
      <c r="AD33" s="217">
        <f t="shared" si="17"/>
        <v>385.85565795611041</v>
      </c>
      <c r="AE33" s="216">
        <f t="shared" si="18"/>
        <v>615.14434204388954</v>
      </c>
      <c r="AF33" s="333">
        <f t="shared" si="15"/>
        <v>615.37386024617967</v>
      </c>
      <c r="AG33" s="536">
        <f t="shared" si="19"/>
        <v>14.921203555095151</v>
      </c>
      <c r="AH33" s="537">
        <f t="shared" si="24"/>
        <v>1.549442775119557</v>
      </c>
      <c r="AP33" s="8"/>
      <c r="AQ33" s="194"/>
      <c r="AR33" s="8"/>
      <c r="AS33" s="8"/>
      <c r="AT33" s="478"/>
      <c r="AU33" s="8"/>
      <c r="AV33" s="8"/>
      <c r="AW33" s="8"/>
      <c r="AX33" s="243"/>
      <c r="AY33" s="8"/>
      <c r="AZ33" s="187"/>
      <c r="BA33" s="187"/>
    </row>
    <row r="34" spans="3:53" s="7" customFormat="1" ht="18.75" x14ac:dyDescent="0.3">
      <c r="C34" s="21"/>
      <c r="D34" s="25">
        <v>10</v>
      </c>
      <c r="E34" s="316">
        <v>4</v>
      </c>
      <c r="F34" s="232">
        <v>12</v>
      </c>
      <c r="G34" s="231">
        <v>12</v>
      </c>
      <c r="H34" s="317">
        <v>11</v>
      </c>
      <c r="I34" s="326">
        <f t="shared" si="0"/>
        <v>6.9777948135452926E-3</v>
      </c>
      <c r="J34" s="228">
        <f t="shared" si="0"/>
        <v>0.38097468813044161</v>
      </c>
      <c r="K34" s="227">
        <f t="shared" si="0"/>
        <v>0.38097468813044161</v>
      </c>
      <c r="L34" s="226">
        <f t="shared" si="0"/>
        <v>0.23107282892557152</v>
      </c>
      <c r="M34" s="487">
        <f t="shared" si="4"/>
        <v>0.38795248294398688</v>
      </c>
      <c r="N34" s="511">
        <f t="shared" si="5"/>
        <v>0.61204751705601312</v>
      </c>
      <c r="O34" s="510">
        <f t="shared" si="6"/>
        <v>0.38795248294398688</v>
      </c>
      <c r="P34" s="473">
        <f t="shared" si="7"/>
        <v>0.61204751705601312</v>
      </c>
      <c r="Q34" s="487">
        <f t="shared" si="8"/>
        <v>387.95248294398687</v>
      </c>
      <c r="R34" s="511">
        <f t="shared" si="9"/>
        <v>612.04751705601313</v>
      </c>
      <c r="S34" s="510">
        <f t="shared" si="10"/>
        <v>0.38795248294398688</v>
      </c>
      <c r="T34" s="473">
        <f t="shared" si="11"/>
        <v>0.61204751705601312</v>
      </c>
      <c r="U34" s="487">
        <f t="shared" si="12"/>
        <v>0.98201379003790845</v>
      </c>
      <c r="V34" s="511">
        <f t="shared" si="13"/>
        <v>0.37754066879814541</v>
      </c>
      <c r="W34" s="510">
        <f t="shared" si="1"/>
        <v>0.98201379003790845</v>
      </c>
      <c r="X34" s="473">
        <f t="shared" si="14"/>
        <v>0.37754066879814541</v>
      </c>
      <c r="Y34" s="487">
        <f t="shared" si="20"/>
        <v>982.01379003790851</v>
      </c>
      <c r="Z34" s="511">
        <f t="shared" si="21"/>
        <v>377.54066879814542</v>
      </c>
      <c r="AA34" s="510">
        <f t="shared" si="22"/>
        <v>0.98201379003790845</v>
      </c>
      <c r="AB34" s="473">
        <f t="shared" si="23"/>
        <v>0.37754066879814541</v>
      </c>
      <c r="AC34" s="332">
        <f t="shared" si="16"/>
        <v>388.34043542693087</v>
      </c>
      <c r="AD34" s="217">
        <f t="shared" si="17"/>
        <v>388.56453046104286</v>
      </c>
      <c r="AE34" s="216">
        <f t="shared" si="18"/>
        <v>612.43546953895714</v>
      </c>
      <c r="AF34" s="333">
        <f t="shared" si="15"/>
        <v>612.65956457306913</v>
      </c>
      <c r="AG34" s="536">
        <f t="shared" si="19"/>
        <v>13.930044682831067</v>
      </c>
      <c r="AH34" s="537">
        <f t="shared" si="24"/>
        <v>-0.99115887226408361</v>
      </c>
      <c r="AP34" s="8"/>
      <c r="AQ34" s="194"/>
      <c r="AR34" s="8"/>
      <c r="AS34" s="8"/>
      <c r="AT34" s="478"/>
      <c r="AU34" s="8"/>
      <c r="AV34" s="8"/>
      <c r="AW34" s="8"/>
      <c r="AX34" s="243"/>
      <c r="AY34" s="8"/>
      <c r="AZ34" s="187"/>
      <c r="BA34" s="187"/>
    </row>
    <row r="35" spans="3:53" s="7" customFormat="1" ht="18.75" x14ac:dyDescent="0.3">
      <c r="C35" s="21"/>
      <c r="D35" s="25">
        <v>11</v>
      </c>
      <c r="E35" s="316">
        <v>6</v>
      </c>
      <c r="F35" s="232">
        <v>10</v>
      </c>
      <c r="G35" s="231">
        <v>12</v>
      </c>
      <c r="H35" s="317">
        <v>10</v>
      </c>
      <c r="I35" s="326">
        <f t="shared" si="0"/>
        <v>2.7883386786011224E-2</v>
      </c>
      <c r="J35" s="228">
        <f t="shared" si="0"/>
        <v>0.20603190919001854</v>
      </c>
      <c r="K35" s="227">
        <f t="shared" si="0"/>
        <v>0.56005279483395154</v>
      </c>
      <c r="L35" s="226">
        <f t="shared" si="0"/>
        <v>0.20603190919001854</v>
      </c>
      <c r="M35" s="487">
        <f t="shared" si="4"/>
        <v>0.58793618161996286</v>
      </c>
      <c r="N35" s="511">
        <f t="shared" si="5"/>
        <v>0.41206381838003708</v>
      </c>
      <c r="O35" s="510">
        <f t="shared" si="6"/>
        <v>0.23391529597602989</v>
      </c>
      <c r="P35" s="473">
        <f t="shared" si="7"/>
        <v>0.76608470402397011</v>
      </c>
      <c r="Q35" s="487">
        <f t="shared" si="8"/>
        <v>587.93618161996289</v>
      </c>
      <c r="R35" s="511">
        <f t="shared" si="9"/>
        <v>412.06381838003711</v>
      </c>
      <c r="S35" s="510">
        <f t="shared" si="10"/>
        <v>0.23391529597602989</v>
      </c>
      <c r="T35" s="473">
        <f t="shared" si="11"/>
        <v>0.76608470402397011</v>
      </c>
      <c r="U35" s="487">
        <f t="shared" si="12"/>
        <v>0.95257412682243325</v>
      </c>
      <c r="V35" s="511">
        <f t="shared" si="13"/>
        <v>0.5</v>
      </c>
      <c r="W35" s="510">
        <f t="shared" si="1"/>
        <v>0.88079707797788243</v>
      </c>
      <c r="X35" s="473">
        <f t="shared" si="14"/>
        <v>0.2689414213699951</v>
      </c>
      <c r="Y35" s="487">
        <f t="shared" si="20"/>
        <v>952.5741268224333</v>
      </c>
      <c r="Z35" s="511">
        <f t="shared" si="21"/>
        <v>500</v>
      </c>
      <c r="AA35" s="510">
        <f t="shared" si="22"/>
        <v>0.88079707797788243</v>
      </c>
      <c r="AB35" s="473">
        <f t="shared" si="23"/>
        <v>0.2689414213699951</v>
      </c>
      <c r="AC35" s="332">
        <f t="shared" si="16"/>
        <v>588.17009691593887</v>
      </c>
      <c r="AD35" s="217">
        <f t="shared" si="17"/>
        <v>588.70226632398692</v>
      </c>
      <c r="AE35" s="216">
        <f t="shared" si="18"/>
        <v>412.29773367601314</v>
      </c>
      <c r="AF35" s="333">
        <f t="shared" si="15"/>
        <v>412.82990308406107</v>
      </c>
      <c r="AG35" s="536">
        <f t="shared" si="19"/>
        <v>13.159448446414984</v>
      </c>
      <c r="AH35" s="537">
        <f t="shared" si="24"/>
        <v>-0.77059623641608255</v>
      </c>
      <c r="AP35" s="8"/>
      <c r="AQ35" s="194"/>
      <c r="AR35" s="8"/>
      <c r="AS35" s="8"/>
      <c r="AT35" s="478"/>
      <c r="AU35" s="8"/>
      <c r="AV35" s="8"/>
      <c r="AW35" s="8"/>
      <c r="AX35" s="243"/>
      <c r="AY35" s="8"/>
      <c r="AZ35" s="187"/>
      <c r="BA35" s="187"/>
    </row>
    <row r="36" spans="3:53" s="7" customFormat="1" ht="18.75" x14ac:dyDescent="0.3">
      <c r="C36" s="21"/>
      <c r="D36" s="25">
        <v>12</v>
      </c>
      <c r="E36" s="316">
        <v>6</v>
      </c>
      <c r="F36" s="232">
        <v>8</v>
      </c>
      <c r="G36" s="231">
        <v>12.3</v>
      </c>
      <c r="H36" s="317">
        <v>4</v>
      </c>
      <c r="I36" s="326">
        <f t="shared" si="0"/>
        <v>3.6466769891295929E-2</v>
      </c>
      <c r="J36" s="228">
        <f t="shared" si="0"/>
        <v>9.9126957938107163E-2</v>
      </c>
      <c r="K36" s="227">
        <f t="shared" si="0"/>
        <v>0.85099089724165955</v>
      </c>
      <c r="L36" s="226">
        <f t="shared" si="0"/>
        <v>1.3415374928937527E-2</v>
      </c>
      <c r="M36" s="487">
        <f t="shared" si="4"/>
        <v>0.88745766713295526</v>
      </c>
      <c r="N36" s="511">
        <f t="shared" si="5"/>
        <v>0.11254233286704469</v>
      </c>
      <c r="O36" s="510">
        <f t="shared" si="6"/>
        <v>0.13559372782940293</v>
      </c>
      <c r="P36" s="473">
        <f t="shared" si="7"/>
        <v>0.86440627217059707</v>
      </c>
      <c r="Q36" s="487">
        <f t="shared" si="8"/>
        <v>887.45766713295529</v>
      </c>
      <c r="R36" s="511">
        <f t="shared" si="9"/>
        <v>112.54233286704469</v>
      </c>
      <c r="S36" s="510">
        <f t="shared" si="10"/>
        <v>0.13559372782940293</v>
      </c>
      <c r="T36" s="473">
        <f t="shared" si="11"/>
        <v>0.86440627217059707</v>
      </c>
      <c r="U36" s="487">
        <f t="shared" si="12"/>
        <v>0.95890872179953501</v>
      </c>
      <c r="V36" s="511">
        <f t="shared" si="13"/>
        <v>0.11920292202211756</v>
      </c>
      <c r="W36" s="510">
        <f t="shared" si="1"/>
        <v>0.7310585786300049</v>
      </c>
      <c r="X36" s="473">
        <f t="shared" si="14"/>
        <v>1.5519756578408888E-2</v>
      </c>
      <c r="Y36" s="487">
        <f t="shared" si="20"/>
        <v>958.90872179953499</v>
      </c>
      <c r="Z36" s="511">
        <f t="shared" si="21"/>
        <v>119.20292202211756</v>
      </c>
      <c r="AA36" s="510">
        <f t="shared" si="22"/>
        <v>0.7310585786300049</v>
      </c>
      <c r="AB36" s="473">
        <f t="shared" si="23"/>
        <v>1.5519756578408888E-2</v>
      </c>
      <c r="AC36" s="332">
        <f t="shared" si="16"/>
        <v>887.59326086078465</v>
      </c>
      <c r="AD36" s="217">
        <f t="shared" si="17"/>
        <v>888.32207340512593</v>
      </c>
      <c r="AE36" s="216">
        <f t="shared" si="18"/>
        <v>112.67792659487409</v>
      </c>
      <c r="AF36" s="333">
        <f t="shared" si="15"/>
        <v>113.40673913921529</v>
      </c>
      <c r="AG36" s="536">
        <f t="shared" si="19"/>
        <v>12.622707694018525</v>
      </c>
      <c r="AH36" s="537">
        <f t="shared" si="24"/>
        <v>-0.5367407523964598</v>
      </c>
      <c r="AP36" s="8"/>
      <c r="AQ36" s="194"/>
      <c r="AR36" s="8"/>
      <c r="AS36" s="8"/>
      <c r="AT36" s="478"/>
      <c r="AU36" s="8"/>
      <c r="AV36" s="8"/>
      <c r="AW36" s="8"/>
      <c r="AX36" s="243"/>
      <c r="AY36" s="8"/>
      <c r="AZ36" s="187"/>
      <c r="BA36" s="187"/>
    </row>
    <row r="37" spans="3:53" s="7" customFormat="1" ht="18.75" x14ac:dyDescent="0.3">
      <c r="C37" s="21"/>
      <c r="D37" s="25">
        <v>13</v>
      </c>
      <c r="E37" s="316">
        <v>8</v>
      </c>
      <c r="F37" s="232">
        <v>6</v>
      </c>
      <c r="G37" s="231">
        <v>12.6</v>
      </c>
      <c r="H37" s="317">
        <v>6</v>
      </c>
      <c r="I37" s="326">
        <f t="shared" si="0"/>
        <v>8.5397524309266393E-2</v>
      </c>
      <c r="J37" s="228">
        <f t="shared" si="0"/>
        <v>3.1415993520317584E-2</v>
      </c>
      <c r="K37" s="227">
        <f t="shared" si="0"/>
        <v>0.85177048865009841</v>
      </c>
      <c r="L37" s="226">
        <f t="shared" si="0"/>
        <v>3.1415993520317584E-2</v>
      </c>
      <c r="M37" s="487">
        <f t="shared" si="4"/>
        <v>0.9371680129593648</v>
      </c>
      <c r="N37" s="511">
        <f t="shared" si="5"/>
        <v>6.2831987040635168E-2</v>
      </c>
      <c r="O37" s="510">
        <f t="shared" si="6"/>
        <v>0.11681351782958405</v>
      </c>
      <c r="P37" s="473">
        <f t="shared" si="7"/>
        <v>0.88318648217041595</v>
      </c>
      <c r="Q37" s="487">
        <f t="shared" si="8"/>
        <v>937.16801295936477</v>
      </c>
      <c r="R37" s="511">
        <f t="shared" si="9"/>
        <v>62.83198704063517</v>
      </c>
      <c r="S37" s="510">
        <f t="shared" si="10"/>
        <v>0.11681351782958405</v>
      </c>
      <c r="T37" s="473">
        <f t="shared" si="11"/>
        <v>0.88318648217041595</v>
      </c>
      <c r="U37" s="487">
        <f t="shared" si="12"/>
        <v>0.90887703898514383</v>
      </c>
      <c r="V37" s="511">
        <f t="shared" si="13"/>
        <v>0.5</v>
      </c>
      <c r="W37" s="510">
        <f t="shared" si="1"/>
        <v>0.26894142136999516</v>
      </c>
      <c r="X37" s="473">
        <f t="shared" si="14"/>
        <v>3.5571189272636181E-2</v>
      </c>
      <c r="Y37" s="487">
        <f t="shared" si="20"/>
        <v>908.87703898514383</v>
      </c>
      <c r="Z37" s="511">
        <f t="shared" si="21"/>
        <v>500</v>
      </c>
      <c r="AA37" s="510">
        <f t="shared" si="22"/>
        <v>0.26894142136999516</v>
      </c>
      <c r="AB37" s="473">
        <f t="shared" si="23"/>
        <v>3.5571189272636181E-2</v>
      </c>
      <c r="AC37" s="332">
        <f t="shared" si="16"/>
        <v>937.28482647719431</v>
      </c>
      <c r="AD37" s="217">
        <f t="shared" si="17"/>
        <v>938.05119944153523</v>
      </c>
      <c r="AE37" s="216">
        <f t="shared" si="18"/>
        <v>62.948800558464754</v>
      </c>
      <c r="AF37" s="333">
        <f t="shared" si="15"/>
        <v>63.715173522805586</v>
      </c>
      <c r="AG37" s="536">
        <f t="shared" si="19"/>
        <v>12.92087633592133</v>
      </c>
      <c r="AH37" s="537">
        <f t="shared" si="24"/>
        <v>0.29816864190280512</v>
      </c>
      <c r="AP37" s="8"/>
      <c r="AQ37" s="194"/>
      <c r="AR37" s="8"/>
      <c r="AS37" s="8"/>
      <c r="AT37" s="478"/>
      <c r="AU37" s="8"/>
      <c r="AV37" s="8"/>
      <c r="AW37" s="8"/>
      <c r="AX37" s="243"/>
      <c r="AY37" s="8"/>
      <c r="AZ37" s="187"/>
      <c r="BA37" s="187"/>
    </row>
    <row r="38" spans="3:53" s="7" customFormat="1" ht="18.75" x14ac:dyDescent="0.3">
      <c r="C38" s="21"/>
      <c r="D38" s="25">
        <v>14</v>
      </c>
      <c r="E38" s="316">
        <v>8</v>
      </c>
      <c r="F38" s="232">
        <v>7</v>
      </c>
      <c r="G38" s="231">
        <v>13</v>
      </c>
      <c r="H38" s="317">
        <v>6</v>
      </c>
      <c r="I38" s="326">
        <f t="shared" si="0"/>
        <v>7.0636912961311721E-2</v>
      </c>
      <c r="J38" s="228">
        <f t="shared" si="0"/>
        <v>4.2843453418488261E-2</v>
      </c>
      <c r="K38" s="227">
        <f t="shared" si="0"/>
        <v>0.86053376555391692</v>
      </c>
      <c r="L38" s="226">
        <f t="shared" si="0"/>
        <v>2.5985868066283169E-2</v>
      </c>
      <c r="M38" s="487">
        <f t="shared" si="4"/>
        <v>0.93117067851522861</v>
      </c>
      <c r="N38" s="511">
        <f t="shared" si="5"/>
        <v>6.882932148477143E-2</v>
      </c>
      <c r="O38" s="510">
        <f t="shared" si="6"/>
        <v>0.11348036637979986</v>
      </c>
      <c r="P38" s="473">
        <f t="shared" si="7"/>
        <v>0.88651963362020014</v>
      </c>
      <c r="Q38" s="487">
        <f t="shared" si="8"/>
        <v>931.17067851522859</v>
      </c>
      <c r="R38" s="511">
        <f t="shared" si="9"/>
        <v>68.829321484771427</v>
      </c>
      <c r="S38" s="510">
        <f t="shared" si="10"/>
        <v>0.11348036637979986</v>
      </c>
      <c r="T38" s="473">
        <f t="shared" si="11"/>
        <v>0.88651963362020014</v>
      </c>
      <c r="U38" s="487">
        <f t="shared" si="12"/>
        <v>0.92414181997875644</v>
      </c>
      <c r="V38" s="511">
        <f t="shared" si="13"/>
        <v>0.37754066879814546</v>
      </c>
      <c r="W38" s="510">
        <f t="shared" si="1"/>
        <v>0.37754066879814541</v>
      </c>
      <c r="X38" s="473">
        <f t="shared" si="14"/>
        <v>2.9312230751356319E-2</v>
      </c>
      <c r="Y38" s="487">
        <f t="shared" si="20"/>
        <v>924.14181997875642</v>
      </c>
      <c r="Z38" s="511">
        <f t="shared" si="21"/>
        <v>377.54066879814548</v>
      </c>
      <c r="AA38" s="510">
        <f t="shared" si="22"/>
        <v>0.37754066879814541</v>
      </c>
      <c r="AB38" s="473">
        <f t="shared" si="23"/>
        <v>2.9312230751356319E-2</v>
      </c>
      <c r="AC38" s="332">
        <f t="shared" si="16"/>
        <v>931.28415888160839</v>
      </c>
      <c r="AD38" s="217">
        <f t="shared" si="17"/>
        <v>932.05719814884878</v>
      </c>
      <c r="AE38" s="216">
        <f t="shared" si="18"/>
        <v>68.942801851151231</v>
      </c>
      <c r="AF38" s="333">
        <f t="shared" si="15"/>
        <v>69.715841118391623</v>
      </c>
      <c r="AG38" s="536">
        <f t="shared" si="19"/>
        <v>13.300404849284066</v>
      </c>
      <c r="AH38" s="537">
        <f t="shared" si="24"/>
        <v>0.37952851336273596</v>
      </c>
      <c r="AP38" s="8"/>
      <c r="AQ38" s="194"/>
      <c r="AR38" s="8"/>
      <c r="AS38" s="8"/>
      <c r="AT38" s="478"/>
      <c r="AU38" s="8"/>
      <c r="AV38" s="8"/>
      <c r="AW38" s="8"/>
      <c r="AX38" s="243"/>
      <c r="AY38" s="8"/>
      <c r="AZ38" s="187"/>
      <c r="BA38" s="187"/>
    </row>
    <row r="39" spans="3:53" s="7" customFormat="1" ht="18.75" x14ac:dyDescent="0.3">
      <c r="C39" s="21"/>
      <c r="D39" s="25">
        <v>15</v>
      </c>
      <c r="E39" s="316">
        <v>7</v>
      </c>
      <c r="F39" s="232">
        <v>9</v>
      </c>
      <c r="G39" s="231">
        <v>14</v>
      </c>
      <c r="H39" s="317">
        <v>7</v>
      </c>
      <c r="I39" s="326">
        <f t="shared" si="0"/>
        <v>2.6431438293293905E-2</v>
      </c>
      <c r="J39" s="228">
        <f t="shared" si="0"/>
        <v>7.1848098412697389E-2</v>
      </c>
      <c r="K39" s="227">
        <f t="shared" si="0"/>
        <v>0.8752890250007147</v>
      </c>
      <c r="L39" s="226">
        <f t="shared" si="0"/>
        <v>2.6431438293293905E-2</v>
      </c>
      <c r="M39" s="487">
        <f t="shared" si="4"/>
        <v>0.90172046329400868</v>
      </c>
      <c r="N39" s="511">
        <f t="shared" si="5"/>
        <v>9.8279536705991294E-2</v>
      </c>
      <c r="O39" s="510">
        <f t="shared" si="6"/>
        <v>9.8279536705991433E-2</v>
      </c>
      <c r="P39" s="473">
        <f t="shared" si="7"/>
        <v>0.90172046329400857</v>
      </c>
      <c r="Q39" s="487">
        <f t="shared" si="8"/>
        <v>901.72046329400871</v>
      </c>
      <c r="R39" s="511">
        <f t="shared" si="9"/>
        <v>98.279536705991291</v>
      </c>
      <c r="S39" s="510">
        <f t="shared" si="10"/>
        <v>9.8279536705991433E-2</v>
      </c>
      <c r="T39" s="473">
        <f t="shared" si="11"/>
        <v>0.90172046329400857</v>
      </c>
      <c r="U39" s="487">
        <f t="shared" si="12"/>
        <v>0.97068776924864375</v>
      </c>
      <c r="V39" s="511">
        <f t="shared" si="13"/>
        <v>0.2689414213699951</v>
      </c>
      <c r="W39" s="510">
        <f t="shared" si="1"/>
        <v>0.7310585786300049</v>
      </c>
      <c r="X39" s="473">
        <f t="shared" si="14"/>
        <v>2.9312230751356319E-2</v>
      </c>
      <c r="Y39" s="487">
        <f t="shared" si="20"/>
        <v>970.6877692486438</v>
      </c>
      <c r="Z39" s="511">
        <f t="shared" si="21"/>
        <v>268.94142136999511</v>
      </c>
      <c r="AA39" s="510">
        <f t="shared" si="22"/>
        <v>0.7310585786300049</v>
      </c>
      <c r="AB39" s="473">
        <f t="shared" si="23"/>
        <v>2.9312230751356319E-2</v>
      </c>
      <c r="AC39" s="332">
        <f t="shared" si="16"/>
        <v>901.81874283071465</v>
      </c>
      <c r="AD39" s="217">
        <f t="shared" si="17"/>
        <v>902.62218375730276</v>
      </c>
      <c r="AE39" s="216">
        <f t="shared" si="18"/>
        <v>98.377816242697278</v>
      </c>
      <c r="AF39" s="333">
        <f t="shared" si="15"/>
        <v>99.181257169285303</v>
      </c>
      <c r="AG39" s="536">
        <f t="shared" si="19"/>
        <v>14.26640226575949</v>
      </c>
      <c r="AH39" s="537">
        <f t="shared" si="24"/>
        <v>0.96599741647542459</v>
      </c>
      <c r="AP39" s="8"/>
      <c r="AQ39" s="194"/>
      <c r="AR39" s="8"/>
      <c r="AS39" s="8"/>
      <c r="AT39" s="478"/>
      <c r="AU39" s="8"/>
      <c r="AV39" s="8"/>
      <c r="AW39" s="8"/>
      <c r="AX39" s="243"/>
      <c r="AY39" s="8"/>
      <c r="AZ39" s="187"/>
      <c r="BA39" s="187"/>
    </row>
    <row r="40" spans="3:53" s="7" customFormat="1" ht="18.75" x14ac:dyDescent="0.3">
      <c r="C40" s="21"/>
      <c r="D40" s="25">
        <v>16</v>
      </c>
      <c r="E40" s="316">
        <v>7</v>
      </c>
      <c r="F40" s="232">
        <v>9</v>
      </c>
      <c r="G40" s="231">
        <v>15</v>
      </c>
      <c r="H40" s="317">
        <v>8</v>
      </c>
      <c r="I40" s="326">
        <f t="shared" si="0"/>
        <v>1.667635197718351E-2</v>
      </c>
      <c r="J40" s="228">
        <f t="shared" si="0"/>
        <v>4.5331024544565009E-2</v>
      </c>
      <c r="K40" s="227">
        <f t="shared" si="0"/>
        <v>0.91049796725578691</v>
      </c>
      <c r="L40" s="226">
        <f t="shared" si="0"/>
        <v>2.7494656222464591E-2</v>
      </c>
      <c r="M40" s="487">
        <f t="shared" si="4"/>
        <v>0.92717431923297045</v>
      </c>
      <c r="N40" s="511">
        <f t="shared" si="5"/>
        <v>7.2825680767029596E-2</v>
      </c>
      <c r="O40" s="510">
        <f t="shared" si="6"/>
        <v>6.2007376521748481E-2</v>
      </c>
      <c r="P40" s="473">
        <f t="shared" si="7"/>
        <v>0.93799262347825152</v>
      </c>
      <c r="Q40" s="487">
        <f t="shared" si="8"/>
        <v>927.17431923297045</v>
      </c>
      <c r="R40" s="511">
        <f t="shared" si="9"/>
        <v>72.825680767029596</v>
      </c>
      <c r="S40" s="510">
        <f t="shared" si="10"/>
        <v>6.2007376521748481E-2</v>
      </c>
      <c r="T40" s="473">
        <f t="shared" si="11"/>
        <v>0.93799262347825152</v>
      </c>
      <c r="U40" s="487">
        <f t="shared" si="12"/>
        <v>0.98201379003790845</v>
      </c>
      <c r="V40" s="511">
        <f t="shared" si="13"/>
        <v>0.37754066879814546</v>
      </c>
      <c r="W40" s="510">
        <f t="shared" si="1"/>
        <v>0.7310585786300049</v>
      </c>
      <c r="X40" s="473">
        <f t="shared" si="14"/>
        <v>2.9312230751356316E-2</v>
      </c>
      <c r="Y40" s="487">
        <f t="shared" si="20"/>
        <v>982.01379003790851</v>
      </c>
      <c r="Z40" s="511">
        <f t="shared" si="21"/>
        <v>377.54066879814548</v>
      </c>
      <c r="AA40" s="510">
        <f t="shared" si="22"/>
        <v>0.7310585786300049</v>
      </c>
      <c r="AB40" s="473">
        <f t="shared" si="23"/>
        <v>2.9312230751356316E-2</v>
      </c>
      <c r="AC40" s="332">
        <f t="shared" si="16"/>
        <v>927.23632660949215</v>
      </c>
      <c r="AD40" s="217">
        <f t="shared" si="17"/>
        <v>928.11231185644874</v>
      </c>
      <c r="AE40" s="216">
        <f t="shared" si="18"/>
        <v>72.887688143551344</v>
      </c>
      <c r="AF40" s="333">
        <f t="shared" si="15"/>
        <v>73.763673390507847</v>
      </c>
      <c r="AG40" s="536">
        <f t="shared" si="19"/>
        <v>15.187527224750271</v>
      </c>
      <c r="AH40" s="537">
        <f t="shared" si="24"/>
        <v>0.92112495899078084</v>
      </c>
      <c r="AP40" s="8"/>
      <c r="AQ40" s="194"/>
      <c r="AR40" s="8"/>
      <c r="AS40" s="8"/>
      <c r="AT40" s="478"/>
      <c r="AU40" s="8"/>
      <c r="AV40" s="8"/>
      <c r="AW40" s="8"/>
      <c r="AX40" s="243"/>
      <c r="AY40" s="8"/>
      <c r="AZ40" s="187"/>
      <c r="BA40" s="187"/>
    </row>
    <row r="41" spans="3:53" s="7" customFormat="1" ht="18.75" x14ac:dyDescent="0.3">
      <c r="C41" s="21"/>
      <c r="D41" s="25">
        <v>17</v>
      </c>
      <c r="E41" s="316">
        <v>9</v>
      </c>
      <c r="F41" s="232">
        <v>13</v>
      </c>
      <c r="G41" s="231">
        <v>15</v>
      </c>
      <c r="H41" s="317">
        <v>12</v>
      </c>
      <c r="I41" s="326">
        <f t="shared" si="0"/>
        <v>3.0343228559416225E-2</v>
      </c>
      <c r="J41" s="228">
        <f t="shared" si="0"/>
        <v>0.22420781804820114</v>
      </c>
      <c r="K41" s="227">
        <f t="shared" si="0"/>
        <v>0.60946003759887712</v>
      </c>
      <c r="L41" s="226">
        <f t="shared" si="0"/>
        <v>0.13598891579350553</v>
      </c>
      <c r="M41" s="487">
        <f t="shared" si="4"/>
        <v>0.6398032661582933</v>
      </c>
      <c r="N41" s="511">
        <f t="shared" si="5"/>
        <v>0.3601967338417067</v>
      </c>
      <c r="O41" s="510">
        <f t="shared" si="6"/>
        <v>0.25455104660761729</v>
      </c>
      <c r="P41" s="473">
        <f t="shared" si="7"/>
        <v>0.74544895339238271</v>
      </c>
      <c r="Q41" s="487">
        <f t="shared" si="8"/>
        <v>639.80326615829335</v>
      </c>
      <c r="R41" s="511">
        <f t="shared" si="9"/>
        <v>360.1967338417067</v>
      </c>
      <c r="S41" s="510">
        <f t="shared" si="10"/>
        <v>0.25455104660761729</v>
      </c>
      <c r="T41" s="473">
        <f t="shared" si="11"/>
        <v>0.74544895339238271</v>
      </c>
      <c r="U41" s="487">
        <f t="shared" si="12"/>
        <v>0.95257412682243325</v>
      </c>
      <c r="V41" s="511">
        <f t="shared" si="13"/>
        <v>0.37754066879814541</v>
      </c>
      <c r="W41" s="510">
        <f t="shared" si="1"/>
        <v>0.88079707797788254</v>
      </c>
      <c r="X41" s="473">
        <f t="shared" si="14"/>
        <v>0.18242552380635635</v>
      </c>
      <c r="Y41" s="487">
        <f t="shared" si="20"/>
        <v>952.5741268224333</v>
      </c>
      <c r="Z41" s="511">
        <f t="shared" si="21"/>
        <v>377.54066879814542</v>
      </c>
      <c r="AA41" s="510">
        <f t="shared" si="22"/>
        <v>0.88079707797788254</v>
      </c>
      <c r="AB41" s="473">
        <f t="shared" si="23"/>
        <v>0.18242552380635635</v>
      </c>
      <c r="AC41" s="332">
        <f t="shared" si="16"/>
        <v>640.05781720490097</v>
      </c>
      <c r="AD41" s="217">
        <f t="shared" si="17"/>
        <v>640.54871511168574</v>
      </c>
      <c r="AE41" s="216">
        <f t="shared" si="18"/>
        <v>360.45128488831432</v>
      </c>
      <c r="AF41" s="333">
        <f t="shared" si="15"/>
        <v>360.94218279509909</v>
      </c>
      <c r="AG41" s="536">
        <f t="shared" si="19"/>
        <v>15.990363796171712</v>
      </c>
      <c r="AH41" s="537">
        <f t="shared" si="24"/>
        <v>0.80283657142144094</v>
      </c>
      <c r="AQ41" s="194"/>
      <c r="AT41" s="182"/>
      <c r="AX41" s="184"/>
      <c r="AZ41" s="187"/>
      <c r="BA41" s="187"/>
    </row>
    <row r="42" spans="3:53" s="7" customFormat="1" ht="18.75" x14ac:dyDescent="0.3">
      <c r="C42" s="21"/>
      <c r="D42" s="25">
        <v>18</v>
      </c>
      <c r="E42" s="316">
        <v>10</v>
      </c>
      <c r="F42" s="232">
        <v>13</v>
      </c>
      <c r="G42" s="231">
        <v>15</v>
      </c>
      <c r="H42" s="317">
        <v>12</v>
      </c>
      <c r="I42" s="326">
        <f t="shared" si="0"/>
        <v>4.9061779666647355E-2</v>
      </c>
      <c r="J42" s="228">
        <f t="shared" si="0"/>
        <v>0.21987964170334776</v>
      </c>
      <c r="K42" s="227">
        <f t="shared" si="0"/>
        <v>0.59769483449029581</v>
      </c>
      <c r="L42" s="226">
        <f t="shared" si="0"/>
        <v>0.13336374413970897</v>
      </c>
      <c r="M42" s="487">
        <f t="shared" si="4"/>
        <v>0.6467566141569433</v>
      </c>
      <c r="N42" s="511">
        <f t="shared" si="5"/>
        <v>0.3532433858430567</v>
      </c>
      <c r="O42" s="510">
        <f t="shared" si="6"/>
        <v>0.26894142136999521</v>
      </c>
      <c r="P42" s="473">
        <f t="shared" si="7"/>
        <v>0.73105857863000479</v>
      </c>
      <c r="Q42" s="487">
        <f t="shared" si="8"/>
        <v>646.75661415694333</v>
      </c>
      <c r="R42" s="511">
        <f t="shared" si="9"/>
        <v>353.24338584305673</v>
      </c>
      <c r="S42" s="510">
        <f t="shared" si="10"/>
        <v>0.26894142136999521</v>
      </c>
      <c r="T42" s="473">
        <f t="shared" si="11"/>
        <v>0.73105857863000479</v>
      </c>
      <c r="U42" s="487">
        <f t="shared" si="12"/>
        <v>0.92414181997875644</v>
      </c>
      <c r="V42" s="511">
        <f t="shared" si="13"/>
        <v>0.37754066879814546</v>
      </c>
      <c r="W42" s="510">
        <f t="shared" si="1"/>
        <v>0.81757447619364365</v>
      </c>
      <c r="X42" s="473">
        <f t="shared" si="14"/>
        <v>0.18242552380635635</v>
      </c>
      <c r="Y42" s="487">
        <f t="shared" si="20"/>
        <v>924.14181997875642</v>
      </c>
      <c r="Z42" s="511">
        <f t="shared" si="21"/>
        <v>377.54066879814548</v>
      </c>
      <c r="AA42" s="510">
        <f t="shared" si="22"/>
        <v>0.81757447619364365</v>
      </c>
      <c r="AB42" s="473">
        <f t="shared" si="23"/>
        <v>0.18242552380635635</v>
      </c>
      <c r="AC42" s="332">
        <f t="shared" si="16"/>
        <v>647.02555557831329</v>
      </c>
      <c r="AD42" s="217">
        <f t="shared" si="17"/>
        <v>647.48767273557337</v>
      </c>
      <c r="AE42" s="216">
        <f t="shared" si="18"/>
        <v>353.51232726442674</v>
      </c>
      <c r="AF42" s="333">
        <f t="shared" si="15"/>
        <v>353.97444442168671</v>
      </c>
      <c r="AG42" s="536">
        <f t="shared" si="19"/>
        <v>16.029349931001949</v>
      </c>
      <c r="AH42" s="537">
        <f t="shared" si="24"/>
        <v>3.8986134830237162E-2</v>
      </c>
      <c r="AQ42" s="194"/>
      <c r="AT42" s="182"/>
      <c r="AX42" s="184"/>
      <c r="AZ42" s="187"/>
      <c r="BA42" s="187"/>
    </row>
    <row r="43" spans="3:53" s="7" customFormat="1" ht="18.75" x14ac:dyDescent="0.3">
      <c r="C43" s="21"/>
      <c r="D43" s="25">
        <v>19</v>
      </c>
      <c r="E43" s="316">
        <v>11</v>
      </c>
      <c r="F43" s="232">
        <v>12</v>
      </c>
      <c r="G43" s="231">
        <v>16</v>
      </c>
      <c r="H43" s="317">
        <v>11</v>
      </c>
      <c r="I43" s="326">
        <f t="shared" si="0"/>
        <v>6.3166344805694344E-2</v>
      </c>
      <c r="J43" s="228">
        <f t="shared" si="0"/>
        <v>0.10414369627352682</v>
      </c>
      <c r="K43" s="227">
        <f t="shared" si="0"/>
        <v>0.76952361411508452</v>
      </c>
      <c r="L43" s="226">
        <f t="shared" si="0"/>
        <v>6.3166344805694344E-2</v>
      </c>
      <c r="M43" s="487">
        <f t="shared" si="4"/>
        <v>0.83268995892077879</v>
      </c>
      <c r="N43" s="511">
        <f t="shared" si="5"/>
        <v>0.16731004107922115</v>
      </c>
      <c r="O43" s="510">
        <f t="shared" si="6"/>
        <v>0.16731004107922109</v>
      </c>
      <c r="P43" s="473">
        <f t="shared" si="7"/>
        <v>0.83268995892077891</v>
      </c>
      <c r="Q43" s="487">
        <f t="shared" si="8"/>
        <v>832.68995892077885</v>
      </c>
      <c r="R43" s="511">
        <f t="shared" si="9"/>
        <v>167.31004107922115</v>
      </c>
      <c r="S43" s="510">
        <f t="shared" si="10"/>
        <v>0.16731004107922109</v>
      </c>
      <c r="T43" s="473">
        <f t="shared" si="11"/>
        <v>0.83268995892077891</v>
      </c>
      <c r="U43" s="487">
        <f t="shared" si="12"/>
        <v>0.92414181997875644</v>
      </c>
      <c r="V43" s="511">
        <f t="shared" si="13"/>
        <v>0.37754066879814546</v>
      </c>
      <c r="W43" s="510">
        <f t="shared" si="1"/>
        <v>0.62245933120185459</v>
      </c>
      <c r="X43" s="473">
        <f t="shared" si="14"/>
        <v>7.5858180021243546E-2</v>
      </c>
      <c r="Y43" s="487">
        <f t="shared" si="20"/>
        <v>924.14181997875642</v>
      </c>
      <c r="Z43" s="511">
        <f t="shared" si="21"/>
        <v>377.54066879814548</v>
      </c>
      <c r="AA43" s="510">
        <f t="shared" si="22"/>
        <v>0.62245933120185459</v>
      </c>
      <c r="AB43" s="473">
        <f t="shared" si="23"/>
        <v>7.5858180021243546E-2</v>
      </c>
      <c r="AC43" s="332">
        <f t="shared" si="16"/>
        <v>832.85726896185804</v>
      </c>
      <c r="AD43" s="217">
        <f t="shared" si="17"/>
        <v>833.52264887969966</v>
      </c>
      <c r="AE43" s="216">
        <f t="shared" si="18"/>
        <v>167.47735112030037</v>
      </c>
      <c r="AF43" s="333">
        <f t="shared" si="15"/>
        <v>168.14273103814193</v>
      </c>
      <c r="AG43" s="536">
        <f t="shared" si="19"/>
        <v>16.523967277130222</v>
      </c>
      <c r="AH43" s="537">
        <f t="shared" si="24"/>
        <v>0.49461734612827257</v>
      </c>
      <c r="AQ43" s="194"/>
      <c r="AT43" s="182"/>
      <c r="AX43" s="184"/>
      <c r="AZ43" s="187"/>
      <c r="BA43" s="187"/>
    </row>
    <row r="44" spans="3:53" s="7" customFormat="1" ht="18.75" x14ac:dyDescent="0.3">
      <c r="C44" s="21"/>
      <c r="D44" s="25">
        <v>20</v>
      </c>
      <c r="E44" s="316">
        <v>9</v>
      </c>
      <c r="F44" s="232">
        <v>15</v>
      </c>
      <c r="G44" s="231">
        <v>15.1</v>
      </c>
      <c r="H44" s="317">
        <v>12</v>
      </c>
      <c r="I44" s="326">
        <f t="shared" si="0"/>
        <v>2.1421271174387569E-2</v>
      </c>
      <c r="J44" s="228">
        <f t="shared" si="0"/>
        <v>0.43025773311477722</v>
      </c>
      <c r="K44" s="227">
        <f t="shared" si="0"/>
        <v>0.45231751881583454</v>
      </c>
      <c r="L44" s="226">
        <f t="shared" si="0"/>
        <v>9.600347689500062E-2</v>
      </c>
      <c r="M44" s="487">
        <f t="shared" si="4"/>
        <v>0.47373878999022212</v>
      </c>
      <c r="N44" s="511">
        <f t="shared" si="5"/>
        <v>0.52626121000977788</v>
      </c>
      <c r="O44" s="510">
        <f t="shared" si="6"/>
        <v>0.45167900428916485</v>
      </c>
      <c r="P44" s="473">
        <f t="shared" si="7"/>
        <v>0.54832099571083515</v>
      </c>
      <c r="Q44" s="487">
        <f t="shared" si="8"/>
        <v>473.73878999022213</v>
      </c>
      <c r="R44" s="511">
        <f t="shared" si="9"/>
        <v>526.26121000977787</v>
      </c>
      <c r="S44" s="510">
        <f t="shared" si="10"/>
        <v>0.45167900428916485</v>
      </c>
      <c r="T44" s="473">
        <f t="shared" si="11"/>
        <v>0.54832099571083515</v>
      </c>
      <c r="U44" s="487">
        <f t="shared" si="12"/>
        <v>0.95478252651671247</v>
      </c>
      <c r="V44" s="511">
        <f t="shared" si="13"/>
        <v>0.18242552380635632</v>
      </c>
      <c r="W44" s="510">
        <f t="shared" si="1"/>
        <v>0.95257412682243325</v>
      </c>
      <c r="X44" s="473">
        <f>IFERROR( SUM(L44/SUM(K44:L44)), 0)</f>
        <v>0.17508626816403983</v>
      </c>
      <c r="Y44" s="487">
        <f t="shared" si="20"/>
        <v>954.78252651671244</v>
      </c>
      <c r="Z44" s="511">
        <f t="shared" si="21"/>
        <v>182.42552380635632</v>
      </c>
      <c r="AA44" s="510">
        <f t="shared" si="22"/>
        <v>0.95257412682243325</v>
      </c>
      <c r="AB44" s="473">
        <f t="shared" si="23"/>
        <v>0.17508626816403983</v>
      </c>
      <c r="AC44" s="332">
        <f t="shared" si="16"/>
        <v>474.19046899451132</v>
      </c>
      <c r="AD44" s="217">
        <f t="shared" si="17"/>
        <v>474.28711098593294</v>
      </c>
      <c r="AE44" s="216">
        <f t="shared" si="18"/>
        <v>526.71288901406706</v>
      </c>
      <c r="AF44" s="333">
        <f t="shared" si="15"/>
        <v>526.80953100548868</v>
      </c>
      <c r="AG44" s="536">
        <f t="shared" si="19"/>
        <v>16.686741741027777</v>
      </c>
      <c r="AH44" s="537">
        <f t="shared" si="24"/>
        <v>0.16277446389755568</v>
      </c>
      <c r="AQ44" s="194"/>
      <c r="AT44" s="182"/>
      <c r="AX44" s="184"/>
      <c r="AZ44" s="187"/>
      <c r="BA44" s="187"/>
    </row>
    <row r="45" spans="3:53" s="7" customFormat="1" ht="18.75" x14ac:dyDescent="0.3">
      <c r="C45" s="21"/>
      <c r="D45" s="25">
        <v>21</v>
      </c>
      <c r="E45" s="316">
        <v>10</v>
      </c>
      <c r="F45" s="232">
        <v>13</v>
      </c>
      <c r="G45" s="231">
        <v>17</v>
      </c>
      <c r="H45" s="317">
        <v>12</v>
      </c>
      <c r="I45" s="326">
        <f t="shared" si="0"/>
        <v>2.4204036430882751E-2</v>
      </c>
      <c r="J45" s="228">
        <f t="shared" si="0"/>
        <v>0.10847496553035156</v>
      </c>
      <c r="K45" s="227">
        <f t="shared" si="0"/>
        <v>0.80152760563333636</v>
      </c>
      <c r="L45" s="226">
        <f t="shared" si="0"/>
        <v>6.5793392405429307E-2</v>
      </c>
      <c r="M45" s="487">
        <f t="shared" si="4"/>
        <v>0.82573164206421912</v>
      </c>
      <c r="N45" s="511">
        <f t="shared" si="5"/>
        <v>0.17426835793578088</v>
      </c>
      <c r="O45" s="510">
        <f t="shared" si="6"/>
        <v>0.13267900196123428</v>
      </c>
      <c r="P45" s="473">
        <f t="shared" si="7"/>
        <v>0.86732099803876572</v>
      </c>
      <c r="Q45" s="487">
        <f t="shared" si="8"/>
        <v>825.73164206421916</v>
      </c>
      <c r="R45" s="511">
        <f t="shared" si="9"/>
        <v>174.26835793578087</v>
      </c>
      <c r="S45" s="510">
        <f t="shared" si="10"/>
        <v>0.13267900196123428</v>
      </c>
      <c r="T45" s="473">
        <f t="shared" si="11"/>
        <v>0.86732099803876572</v>
      </c>
      <c r="U45" s="487">
        <f t="shared" si="12"/>
        <v>0.97068776924864364</v>
      </c>
      <c r="V45" s="511">
        <f t="shared" si="13"/>
        <v>0.37754066879814541</v>
      </c>
      <c r="W45" s="510">
        <f t="shared" si="1"/>
        <v>0.81757447619364365</v>
      </c>
      <c r="X45" s="473">
        <f t="shared" si="14"/>
        <v>7.5858180021243546E-2</v>
      </c>
      <c r="Y45" s="487">
        <f t="shared" si="20"/>
        <v>970.68776924864369</v>
      </c>
      <c r="Z45" s="511">
        <f t="shared" si="21"/>
        <v>377.54066879814542</v>
      </c>
      <c r="AA45" s="510">
        <f t="shared" si="22"/>
        <v>0.81757447619364365</v>
      </c>
      <c r="AB45" s="473">
        <f t="shared" si="23"/>
        <v>7.5858180021243546E-2</v>
      </c>
      <c r="AC45" s="332">
        <f t="shared" si="16"/>
        <v>825.86432106618042</v>
      </c>
      <c r="AD45" s="217">
        <f t="shared" si="17"/>
        <v>826.59896306225789</v>
      </c>
      <c r="AE45" s="216">
        <f t="shared" si="18"/>
        <v>174.40103693774211</v>
      </c>
      <c r="AF45" s="333">
        <f t="shared" si="15"/>
        <v>175.13567893381963</v>
      </c>
      <c r="AG45" s="536">
        <f t="shared" si="19"/>
        <v>17.442471730127206</v>
      </c>
      <c r="AH45" s="537">
        <f t="shared" si="24"/>
        <v>0.75572998909942868</v>
      </c>
      <c r="AQ45" s="194"/>
      <c r="AT45" s="182"/>
      <c r="AX45" s="184"/>
      <c r="AZ45" s="187"/>
      <c r="BA45" s="187"/>
    </row>
    <row r="46" spans="3:53" s="7" customFormat="1" ht="18.75" x14ac:dyDescent="0.3">
      <c r="C46" s="21"/>
      <c r="D46" s="25">
        <v>22</v>
      </c>
      <c r="E46" s="316">
        <v>11</v>
      </c>
      <c r="F46" s="232">
        <v>12</v>
      </c>
      <c r="G46" s="231">
        <v>13</v>
      </c>
      <c r="H46" s="317">
        <v>12</v>
      </c>
      <c r="I46" s="326">
        <f t="shared" si="0"/>
        <v>0.14253695659655094</v>
      </c>
      <c r="J46" s="228">
        <f t="shared" si="0"/>
        <v>0.23500371220159449</v>
      </c>
      <c r="K46" s="227">
        <f t="shared" si="0"/>
        <v>0.38745561900026004</v>
      </c>
      <c r="L46" s="226">
        <f t="shared" si="0"/>
        <v>0.23500371220159449</v>
      </c>
      <c r="M46" s="487">
        <f t="shared" si="4"/>
        <v>0.52999257559681101</v>
      </c>
      <c r="N46" s="511">
        <f t="shared" si="5"/>
        <v>0.47000742440318899</v>
      </c>
      <c r="O46" s="510">
        <f t="shared" si="6"/>
        <v>0.37754066879814552</v>
      </c>
      <c r="P46" s="473">
        <f t="shared" si="7"/>
        <v>0.62245933120185448</v>
      </c>
      <c r="Q46" s="487">
        <f t="shared" si="8"/>
        <v>529.99257559681098</v>
      </c>
      <c r="R46" s="511">
        <f t="shared" si="9"/>
        <v>470.00742440318896</v>
      </c>
      <c r="S46" s="510">
        <f t="shared" si="10"/>
        <v>0.37754066879814552</v>
      </c>
      <c r="T46" s="473">
        <f t="shared" si="11"/>
        <v>0.62245933120185448</v>
      </c>
      <c r="U46" s="487">
        <f t="shared" si="12"/>
        <v>0.73105857863000479</v>
      </c>
      <c r="V46" s="511">
        <f t="shared" si="13"/>
        <v>0.5</v>
      </c>
      <c r="W46" s="510">
        <f t="shared" si="1"/>
        <v>0.62245933120185459</v>
      </c>
      <c r="X46" s="473">
        <f t="shared" si="14"/>
        <v>0.37754066879814552</v>
      </c>
      <c r="Y46" s="487">
        <f t="shared" si="20"/>
        <v>731.05857863000483</v>
      </c>
      <c r="Z46" s="511">
        <f t="shared" si="21"/>
        <v>500</v>
      </c>
      <c r="AA46" s="510">
        <f t="shared" si="22"/>
        <v>0.62245933120185459</v>
      </c>
      <c r="AB46" s="473">
        <f t="shared" si="23"/>
        <v>0.37754066879814552</v>
      </c>
      <c r="AC46" s="332">
        <f t="shared" si="16"/>
        <v>530.37011626560911</v>
      </c>
      <c r="AD46" s="217">
        <f t="shared" si="17"/>
        <v>530.61503492801285</v>
      </c>
      <c r="AE46" s="216">
        <f t="shared" si="18"/>
        <v>470.3849650719871</v>
      </c>
      <c r="AF46" s="333">
        <f t="shared" si="15"/>
        <v>470.62988373439083</v>
      </c>
      <c r="AG46" s="536">
        <f t="shared" si="19"/>
        <v>14.896307936720426</v>
      </c>
      <c r="AH46" s="537">
        <f t="shared" si="24"/>
        <v>-2.5461637934067802</v>
      </c>
      <c r="AQ46" s="194"/>
      <c r="AT46" s="182"/>
      <c r="AX46" s="184"/>
      <c r="AZ46" s="187"/>
      <c r="BA46" s="187"/>
    </row>
    <row r="47" spans="3:53" s="7" customFormat="1" ht="18.75" x14ac:dyDescent="0.3">
      <c r="C47" s="21"/>
      <c r="D47" s="25">
        <v>23</v>
      </c>
      <c r="E47" s="316">
        <v>9</v>
      </c>
      <c r="F47" s="232">
        <v>6</v>
      </c>
      <c r="G47" s="231">
        <v>12</v>
      </c>
      <c r="H47" s="317">
        <v>4</v>
      </c>
      <c r="I47" s="326">
        <f t="shared" si="0"/>
        <v>0.17280396571445034</v>
      </c>
      <c r="J47" s="228">
        <f t="shared" si="0"/>
        <v>3.8557776544149082E-2</v>
      </c>
      <c r="K47" s="227">
        <f t="shared" si="0"/>
        <v>0.77445364445352571</v>
      </c>
      <c r="L47" s="226">
        <f t="shared" si="0"/>
        <v>1.418461328787491E-2</v>
      </c>
      <c r="M47" s="487">
        <f t="shared" si="4"/>
        <v>0.94725761016797605</v>
      </c>
      <c r="N47" s="511">
        <f t="shared" si="5"/>
        <v>5.2742389832023992E-2</v>
      </c>
      <c r="O47" s="510">
        <f t="shared" si="6"/>
        <v>0.21136174225859938</v>
      </c>
      <c r="P47" s="473">
        <f t="shared" si="7"/>
        <v>0.78863825774140062</v>
      </c>
      <c r="Q47" s="487">
        <f t="shared" si="8"/>
        <v>947.25761016797605</v>
      </c>
      <c r="R47" s="511">
        <f t="shared" si="9"/>
        <v>52.742389832023989</v>
      </c>
      <c r="S47" s="510">
        <f t="shared" si="10"/>
        <v>0.21136174225859938</v>
      </c>
      <c r="T47" s="473">
        <f t="shared" si="11"/>
        <v>0.78863825774140062</v>
      </c>
      <c r="U47" s="487">
        <f t="shared" si="12"/>
        <v>0.81757447619364365</v>
      </c>
      <c r="V47" s="511">
        <f t="shared" si="13"/>
        <v>0.2689414213699951</v>
      </c>
      <c r="W47" s="510">
        <f t="shared" si="1"/>
        <v>0.18242552380635635</v>
      </c>
      <c r="X47" s="473">
        <f t="shared" si="14"/>
        <v>1.7986209962091559E-2</v>
      </c>
      <c r="Y47" s="487">
        <f t="shared" si="20"/>
        <v>817.5744761936437</v>
      </c>
      <c r="Z47" s="511">
        <f t="shared" si="21"/>
        <v>268.94142136999511</v>
      </c>
      <c r="AA47" s="510">
        <f t="shared" si="22"/>
        <v>0.18242552380635635</v>
      </c>
      <c r="AB47" s="473">
        <f t="shared" si="23"/>
        <v>1.7986209962091559E-2</v>
      </c>
      <c r="AC47" s="332">
        <f t="shared" si="16"/>
        <v>947.4689719102347</v>
      </c>
      <c r="AD47" s="217">
        <f t="shared" si="17"/>
        <v>948.04624842571741</v>
      </c>
      <c r="AE47" s="216">
        <f t="shared" si="18"/>
        <v>52.953751574282585</v>
      </c>
      <c r="AF47" s="333">
        <f t="shared" si="15"/>
        <v>53.531028089765393</v>
      </c>
      <c r="AG47" s="536">
        <f t="shared" si="19"/>
        <v>12.511194946278241</v>
      </c>
      <c r="AH47" s="537">
        <f t="shared" si="24"/>
        <v>-2.3851129904421846</v>
      </c>
      <c r="AQ47" s="194"/>
      <c r="AT47" s="182"/>
      <c r="AX47" s="184"/>
      <c r="AZ47" s="187"/>
      <c r="BA47" s="187"/>
    </row>
    <row r="48" spans="3:53" s="7" customFormat="1" ht="18.75" x14ac:dyDescent="0.3">
      <c r="C48" s="21"/>
      <c r="D48" s="25">
        <v>24</v>
      </c>
      <c r="E48" s="316">
        <v>9</v>
      </c>
      <c r="F48" s="232">
        <v>8</v>
      </c>
      <c r="G48" s="231">
        <v>14</v>
      </c>
      <c r="H48" s="317">
        <v>5</v>
      </c>
      <c r="I48" s="326">
        <f t="shared" si="0"/>
        <v>7.1816586681135289E-2</v>
      </c>
      <c r="J48" s="228">
        <f t="shared" si="0"/>
        <v>4.3558961698018511E-2</v>
      </c>
      <c r="K48" s="227">
        <f t="shared" si="0"/>
        <v>0.8749051335212682</v>
      </c>
      <c r="L48" s="226">
        <f t="shared" si="0"/>
        <v>9.7193180995781923E-3</v>
      </c>
      <c r="M48" s="487">
        <f t="shared" si="4"/>
        <v>0.94672172020240331</v>
      </c>
      <c r="N48" s="511">
        <f t="shared" si="5"/>
        <v>5.3278279797596702E-2</v>
      </c>
      <c r="O48" s="510">
        <f t="shared" si="6"/>
        <v>0.11537554837915365</v>
      </c>
      <c r="P48" s="473">
        <f t="shared" si="7"/>
        <v>0.88462445162084635</v>
      </c>
      <c r="Q48" s="487">
        <f t="shared" si="8"/>
        <v>946.72172020240328</v>
      </c>
      <c r="R48" s="511">
        <f t="shared" si="9"/>
        <v>53.278279797596703</v>
      </c>
      <c r="S48" s="510">
        <f t="shared" si="10"/>
        <v>0.11537554837915365</v>
      </c>
      <c r="T48" s="473">
        <f t="shared" si="11"/>
        <v>0.88462445162084635</v>
      </c>
      <c r="U48" s="487">
        <f t="shared" si="12"/>
        <v>0.92414181997875644</v>
      </c>
      <c r="V48" s="511">
        <f t="shared" si="13"/>
        <v>0.18242552380635635</v>
      </c>
      <c r="W48" s="510">
        <f>IFERROR( J48/SUM(J48,I48), 0)</f>
        <v>0.37754066879814546</v>
      </c>
      <c r="X48" s="473">
        <f t="shared" si="14"/>
        <v>1.0986942630593181E-2</v>
      </c>
      <c r="Y48" s="487">
        <f t="shared" si="20"/>
        <v>924.14181997875642</v>
      </c>
      <c r="Z48" s="511">
        <f t="shared" si="21"/>
        <v>182.42552380635635</v>
      </c>
      <c r="AA48" s="510">
        <f t="shared" si="22"/>
        <v>0.37754066879814546</v>
      </c>
      <c r="AB48" s="473">
        <f t="shared" si="23"/>
        <v>1.0986942630593181E-2</v>
      </c>
      <c r="AC48" s="332">
        <f t="shared" si="16"/>
        <v>946.8370957507824</v>
      </c>
      <c r="AD48" s="217">
        <f t="shared" si="17"/>
        <v>947.60634465402416</v>
      </c>
      <c r="AE48" s="216">
        <f t="shared" si="18"/>
        <v>53.393655345975858</v>
      </c>
      <c r="AF48" s="333">
        <f t="shared" si="15"/>
        <v>54.162904249217547</v>
      </c>
      <c r="AG48" s="536">
        <f t="shared" si="19"/>
        <v>14.26727963467021</v>
      </c>
      <c r="AH48" s="537">
        <f t="shared" si="24"/>
        <v>1.7560846883919687</v>
      </c>
      <c r="AQ48" s="194"/>
      <c r="AT48" s="182"/>
      <c r="AX48" s="184"/>
      <c r="AZ48" s="187"/>
      <c r="BA48" s="187"/>
    </row>
    <row r="49" spans="2:53" s="7" customFormat="1" ht="19.5" thickBot="1" x14ac:dyDescent="0.35">
      <c r="C49" s="21"/>
      <c r="D49" s="25">
        <v>25</v>
      </c>
      <c r="E49" s="318">
        <v>10</v>
      </c>
      <c r="F49" s="224">
        <v>3</v>
      </c>
      <c r="G49" s="223">
        <v>12</v>
      </c>
      <c r="H49" s="319">
        <v>3</v>
      </c>
      <c r="I49" s="328">
        <f t="shared" si="0"/>
        <v>0.26464291790486838</v>
      </c>
      <c r="J49" s="220">
        <f t="shared" si="0"/>
        <v>7.9915236619744669E-3</v>
      </c>
      <c r="K49" s="219">
        <f t="shared" si="0"/>
        <v>0.71937403477118256</v>
      </c>
      <c r="L49" s="218">
        <f t="shared" si="0"/>
        <v>7.9915236619744669E-3</v>
      </c>
      <c r="M49" s="488">
        <f t="shared" si="4"/>
        <v>0.98401695267605105</v>
      </c>
      <c r="N49" s="527">
        <f t="shared" si="5"/>
        <v>1.5983047323948934E-2</v>
      </c>
      <c r="O49" s="518">
        <f t="shared" si="6"/>
        <v>0.27263444156684302</v>
      </c>
      <c r="P49" s="474">
        <f t="shared" si="7"/>
        <v>0.72736555843315698</v>
      </c>
      <c r="Q49" s="488">
        <f t="shared" si="8"/>
        <v>984.01695267605101</v>
      </c>
      <c r="R49" s="527">
        <f t="shared" si="9"/>
        <v>15.983047323948934</v>
      </c>
      <c r="S49" s="518">
        <f t="shared" si="10"/>
        <v>0.27263444156684302</v>
      </c>
      <c r="T49" s="474">
        <f t="shared" si="11"/>
        <v>0.72736555843315698</v>
      </c>
      <c r="U49" s="488">
        <f t="shared" si="12"/>
        <v>0.7310585786300049</v>
      </c>
      <c r="V49" s="527">
        <f t="shared" si="13"/>
        <v>0.5</v>
      </c>
      <c r="W49" s="518">
        <f t="shared" si="1"/>
        <v>2.9312230751356312E-2</v>
      </c>
      <c r="X49" s="474">
        <f t="shared" si="14"/>
        <v>1.098694263059318E-2</v>
      </c>
      <c r="Y49" s="488">
        <f t="shared" si="20"/>
        <v>731.05857863000494</v>
      </c>
      <c r="Z49" s="527">
        <f t="shared" si="21"/>
        <v>500</v>
      </c>
      <c r="AA49" s="518">
        <f t="shared" si="22"/>
        <v>2.9312230751356312E-2</v>
      </c>
      <c r="AB49" s="474">
        <f t="shared" si="23"/>
        <v>1.098694263059318E-2</v>
      </c>
      <c r="AC49" s="334">
        <f t="shared" si="16"/>
        <v>984.28958711761788</v>
      </c>
      <c r="AD49" s="283">
        <f t="shared" si="17"/>
        <v>984.74431823448413</v>
      </c>
      <c r="AE49" s="284">
        <f t="shared" si="18"/>
        <v>16.255681765515778</v>
      </c>
      <c r="AF49" s="335">
        <f t="shared" si="15"/>
        <v>16.710412882382091</v>
      </c>
      <c r="AG49" s="538">
        <f t="shared" si="19"/>
        <v>12.658747682534385</v>
      </c>
      <c r="AH49" s="539">
        <f t="shared" si="24"/>
        <v>-1.6085319521358254</v>
      </c>
      <c r="AQ49" s="194"/>
      <c r="AT49" s="182"/>
      <c r="AX49" s="184"/>
      <c r="AZ49" s="187"/>
      <c r="BA49" s="187"/>
    </row>
    <row r="50" spans="2:53" s="7" customFormat="1" ht="16.5" thickTop="1" thickBot="1" x14ac:dyDescent="0.3">
      <c r="D50" s="25" t="s">
        <v>97</v>
      </c>
      <c r="E50" s="320">
        <f>E49</f>
        <v>10</v>
      </c>
      <c r="F50" s="321">
        <f>F49</f>
        <v>3</v>
      </c>
      <c r="G50" s="322">
        <f>G49</f>
        <v>12</v>
      </c>
      <c r="H50" s="323">
        <f>H49</f>
        <v>3</v>
      </c>
      <c r="I50" s="469">
        <f>F54*F53</f>
        <v>0.25</v>
      </c>
      <c r="J50" s="470">
        <f>F53*E54</f>
        <v>0</v>
      </c>
      <c r="K50" s="470">
        <f>E53*F54</f>
        <v>0.75</v>
      </c>
      <c r="L50" s="470">
        <f>E53*E54</f>
        <v>0</v>
      </c>
      <c r="M50" s="489">
        <f>1-N50</f>
        <v>1</v>
      </c>
      <c r="N50" s="512">
        <f>SUM(J50,L50)</f>
        <v>0</v>
      </c>
      <c r="O50" s="513">
        <f>1-P50</f>
        <v>0.25</v>
      </c>
      <c r="P50" s="475">
        <f>SUM(K50:L50)</f>
        <v>0.75</v>
      </c>
      <c r="Q50" s="489">
        <f>M50*$E$7</f>
        <v>1000</v>
      </c>
      <c r="R50" s="512">
        <f t="shared" si="9"/>
        <v>0</v>
      </c>
      <c r="S50" s="513">
        <f>O50*1</f>
        <v>0.25</v>
      </c>
      <c r="T50" s="475">
        <f t="shared" si="11"/>
        <v>0.75</v>
      </c>
      <c r="U50" s="489">
        <f t="shared" si="12"/>
        <v>0.75</v>
      </c>
      <c r="V50" s="512">
        <f t="shared" si="13"/>
        <v>0</v>
      </c>
      <c r="W50" s="513">
        <f t="shared" si="1"/>
        <v>0</v>
      </c>
      <c r="X50" s="475">
        <f t="shared" si="14"/>
        <v>0</v>
      </c>
      <c r="Y50" s="489">
        <f t="shared" si="20"/>
        <v>750</v>
      </c>
      <c r="Z50" s="512">
        <f t="shared" si="21"/>
        <v>0</v>
      </c>
      <c r="AA50" s="513">
        <f t="shared" si="22"/>
        <v>0</v>
      </c>
      <c r="AB50" s="475">
        <f t="shared" si="23"/>
        <v>0</v>
      </c>
      <c r="AC50" s="279">
        <f>SUM(Q50,S50)</f>
        <v>1000.25</v>
      </c>
      <c r="AD50" s="280">
        <f>SUM(Q50,T50)</f>
        <v>1000.75</v>
      </c>
      <c r="AE50" s="281">
        <f t="shared" si="18"/>
        <v>0.25</v>
      </c>
      <c r="AF50" s="282">
        <f t="shared" si="15"/>
        <v>0.75</v>
      </c>
      <c r="AG50" s="536">
        <f t="shared" si="19"/>
        <v>12.658747682534385</v>
      </c>
      <c r="AH50" s="28" t="s">
        <v>108</v>
      </c>
      <c r="AW50" s="8"/>
      <c r="AX50" s="8"/>
      <c r="AZ50" s="187"/>
      <c r="BA50" s="187"/>
    </row>
    <row r="51" spans="2:53" s="7" customFormat="1" ht="15.75" thickBot="1" x14ac:dyDescent="0.3">
      <c r="C51"/>
      <c r="D51"/>
      <c r="E51" s="33"/>
      <c r="F51" s="33"/>
      <c r="G51" s="33"/>
      <c r="H51" s="33"/>
      <c r="I51" s="33"/>
      <c r="J51" s="33"/>
      <c r="K51" s="33"/>
      <c r="L51" s="33"/>
      <c r="M51" s="33"/>
      <c r="N51" s="33"/>
      <c r="O51" s="33"/>
      <c r="P51" s="33"/>
      <c r="Q51" s="33"/>
      <c r="R51" s="33"/>
      <c r="S51" s="33"/>
      <c r="T51" s="33"/>
      <c r="AG51" s="540">
        <f>SUMPRODUCT(E50:H50,I50:L50)</f>
        <v>11.5</v>
      </c>
      <c r="AH51" s="459" t="s">
        <v>109</v>
      </c>
      <c r="AK51" s="33"/>
      <c r="AL51" s="33"/>
      <c r="AM51" s="33"/>
      <c r="AN51" s="33"/>
    </row>
    <row r="52" spans="2:53" s="7" customFormat="1" ht="15.75" thickBot="1" x14ac:dyDescent="0.3">
      <c r="C52" s="1"/>
      <c r="D52" s="150" t="s">
        <v>170</v>
      </c>
      <c r="E52" s="287" t="s">
        <v>150</v>
      </c>
      <c r="F52" s="237" t="s">
        <v>167</v>
      </c>
      <c r="G52" s="140"/>
      <c r="H52" s="17"/>
      <c r="I52" s="17"/>
      <c r="J52" s="17"/>
      <c r="K52" s="17"/>
      <c r="L52" s="17"/>
      <c r="M52" s="17"/>
      <c r="N52" s="17"/>
      <c r="Q52" s="17"/>
      <c r="R52" s="17"/>
      <c r="S52" s="207"/>
      <c r="T52" s="17"/>
      <c r="AG52" s="540">
        <f>AG50-AG51</f>
        <v>1.1587476825343845</v>
      </c>
      <c r="AH52" s="160" t="s">
        <v>102</v>
      </c>
      <c r="AK52" s="17"/>
      <c r="AL52" s="17"/>
      <c r="AM52" s="17"/>
      <c r="AN52" s="17"/>
    </row>
    <row r="53" spans="2:53" s="7" customFormat="1" ht="15.75" thickBot="1" x14ac:dyDescent="0.3">
      <c r="C53" s="5" t="s">
        <v>168</v>
      </c>
      <c r="D53" s="532">
        <v>750</v>
      </c>
      <c r="E53" s="531">
        <f>(D53-E5)/(E6-E5)</f>
        <v>0.75</v>
      </c>
      <c r="F53" s="530">
        <f>1-E53</f>
        <v>0.25</v>
      </c>
      <c r="H53" s="33"/>
      <c r="J53" s="33"/>
      <c r="K53" s="33"/>
      <c r="L53" s="160">
        <f>SUM(I48:L48)</f>
        <v>1.0000000000000002</v>
      </c>
      <c r="M53" s="17"/>
      <c r="N53" s="17"/>
      <c r="P53" s="160">
        <f>SUM(M48:P48)</f>
        <v>2</v>
      </c>
      <c r="Q53" s="17"/>
      <c r="R53" s="17"/>
      <c r="S53" s="207"/>
      <c r="T53" s="160">
        <f>SUM(Q48:T48)</f>
        <v>1001</v>
      </c>
      <c r="X53" s="160"/>
      <c r="AB53" s="160"/>
      <c r="AC53" s="160">
        <f>SUM(AC48:AF48)</f>
        <v>2002</v>
      </c>
      <c r="AG53" s="541">
        <f>AG25-AG52</f>
        <v>1.6138410397053966</v>
      </c>
      <c r="AH53" s="542" t="s">
        <v>103</v>
      </c>
      <c r="AK53" s="17"/>
      <c r="AL53" s="17"/>
      <c r="AM53" s="17"/>
      <c r="AN53" s="17"/>
      <c r="AU53" s="8"/>
      <c r="AV53" s="8"/>
      <c r="AW53" s="8"/>
      <c r="AX53" s="28"/>
      <c r="AY53" s="28"/>
    </row>
    <row r="54" spans="2:53" ht="15.75" thickBot="1" x14ac:dyDescent="0.3">
      <c r="C54" s="288" t="s">
        <v>169</v>
      </c>
      <c r="D54" s="533">
        <v>0</v>
      </c>
      <c r="E54" s="528">
        <f>D54</f>
        <v>0</v>
      </c>
      <c r="F54" s="529">
        <f>1-E54</f>
        <v>1</v>
      </c>
      <c r="G54" s="17"/>
      <c r="L54" s="160">
        <f>SUM(I49:L49)</f>
        <v>0.99999999999999989</v>
      </c>
      <c r="P54" s="160">
        <f>SUM(M49:P49)</f>
        <v>2</v>
      </c>
      <c r="S54" s="207"/>
      <c r="T54" s="160">
        <f>SUM(Q49:T49)</f>
        <v>1000.9999999999999</v>
      </c>
      <c r="X54" s="160"/>
      <c r="Z54" s="188"/>
      <c r="AB54" s="160"/>
      <c r="AC54" s="160">
        <f>SUM(AC49:AF49)</f>
        <v>2002</v>
      </c>
    </row>
    <row r="55" spans="2:53" x14ac:dyDescent="0.25">
      <c r="C55" s="140"/>
      <c r="D55" s="552"/>
      <c r="E55" s="479"/>
      <c r="F55" s="28"/>
      <c r="G55" s="140"/>
      <c r="L55" s="160">
        <f>SUM(I50:L50)</f>
        <v>1</v>
      </c>
      <c r="P55" s="160">
        <f>SUM(M50:P50)</f>
        <v>2</v>
      </c>
      <c r="S55" s="207"/>
      <c r="T55" s="160">
        <f>SUM(Q50:T50)</f>
        <v>1001</v>
      </c>
      <c r="X55" s="160"/>
      <c r="Z55" s="188"/>
      <c r="AB55" s="160"/>
      <c r="AC55" s="160">
        <f>SUM(AC50:AF50)</f>
        <v>2002</v>
      </c>
    </row>
    <row r="56" spans="2:53" x14ac:dyDescent="0.25">
      <c r="C56" s="140"/>
      <c r="D56" s="552"/>
      <c r="E56" s="479"/>
      <c r="F56" s="28"/>
      <c r="G56" s="140"/>
      <c r="S56" s="207"/>
      <c r="Z56" s="188"/>
      <c r="AB56" s="160"/>
      <c r="AC56" s="160"/>
    </row>
    <row r="57" spans="2:53" x14ac:dyDescent="0.25">
      <c r="C57" s="140"/>
      <c r="D57" s="552"/>
      <c r="E57" s="479"/>
      <c r="F57" s="28"/>
      <c r="G57" s="140"/>
      <c r="S57" s="207"/>
      <c r="Z57" s="188"/>
      <c r="AB57" s="160"/>
      <c r="AC57" s="160"/>
    </row>
    <row r="58" spans="2:53" x14ac:dyDescent="0.25">
      <c r="C58" s="17"/>
      <c r="D58" s="207"/>
      <c r="E58" s="17"/>
      <c r="F58" s="7"/>
      <c r="G58" s="17"/>
      <c r="Q58" s="188"/>
      <c r="AB58" s="160"/>
    </row>
    <row r="59" spans="2:53" x14ac:dyDescent="0.25">
      <c r="B59" s="1" t="s">
        <v>237</v>
      </c>
      <c r="C59" s="264"/>
      <c r="D59" s="543"/>
      <c r="E59" s="264"/>
      <c r="F59" s="150"/>
      <c r="G59" s="264"/>
      <c r="H59" s="264"/>
      <c r="I59" s="264"/>
      <c r="J59" s="264"/>
      <c r="K59" s="264"/>
      <c r="L59" s="264"/>
      <c r="M59" s="264"/>
      <c r="N59" s="264"/>
      <c r="O59" s="264"/>
      <c r="P59" s="264"/>
      <c r="Q59" s="543"/>
      <c r="R59" s="264"/>
      <c r="S59" s="264"/>
      <c r="T59" s="264"/>
      <c r="U59" s="264"/>
      <c r="V59" s="264"/>
      <c r="W59" s="264"/>
      <c r="X59" s="259"/>
    </row>
    <row r="60" spans="2:53" x14ac:dyDescent="0.25">
      <c r="B60" s="5"/>
      <c r="C60" s="7"/>
      <c r="D60" s="7"/>
      <c r="E60" s="17"/>
      <c r="F60" s="17"/>
      <c r="G60" s="207"/>
      <c r="H60" s="207"/>
      <c r="I60" s="17"/>
      <c r="J60" s="278"/>
      <c r="K60" s="17"/>
      <c r="L60" s="278"/>
      <c r="M60" s="17"/>
      <c r="N60" s="278"/>
      <c r="O60" s="17"/>
      <c r="P60" s="278"/>
      <c r="Q60" s="17"/>
      <c r="R60" s="207"/>
      <c r="S60" s="17"/>
      <c r="T60" s="17"/>
      <c r="U60" s="17"/>
      <c r="V60" s="17"/>
      <c r="W60" s="17"/>
      <c r="X60" s="239"/>
    </row>
    <row r="61" spans="2:53" ht="15.75" thickBot="1" x14ac:dyDescent="0.3">
      <c r="B61" s="5"/>
      <c r="C61" s="7"/>
      <c r="D61" s="7" t="s">
        <v>12</v>
      </c>
      <c r="E61" s="17"/>
      <c r="F61" s="17"/>
      <c r="G61" s="207"/>
      <c r="H61" s="17" t="s">
        <v>189</v>
      </c>
      <c r="I61" s="17"/>
      <c r="J61" s="17"/>
      <c r="K61" s="17" t="s">
        <v>190</v>
      </c>
      <c r="L61" s="17"/>
      <c r="M61" s="544">
        <f>K62/SUM(K62:L62)</f>
        <v>0.5</v>
      </c>
      <c r="N61" s="17"/>
      <c r="O61" s="17"/>
      <c r="P61" s="1700" t="s">
        <v>193</v>
      </c>
      <c r="Q61" s="17"/>
      <c r="R61" s="17"/>
      <c r="S61" s="17"/>
      <c r="T61" s="17"/>
      <c r="U61" s="17"/>
      <c r="V61" s="17"/>
      <c r="W61" s="17"/>
      <c r="X61" s="239"/>
      <c r="AB61" s="33"/>
    </row>
    <row r="62" spans="2:53" s="8" customFormat="1" x14ac:dyDescent="0.25">
      <c r="B62" s="545">
        <v>1</v>
      </c>
      <c r="D62" s="380">
        <v>1</v>
      </c>
      <c r="E62" s="381">
        <v>1</v>
      </c>
      <c r="F62" s="28">
        <f>SUM(D62:E62)</f>
        <v>2</v>
      </c>
      <c r="H62" s="380">
        <f>EXP(D62)</f>
        <v>2.7182818284590451</v>
      </c>
      <c r="I62" s="381">
        <f>EXP(E62)</f>
        <v>2.7182818284590451</v>
      </c>
      <c r="J62" s="140"/>
      <c r="K62" s="384">
        <f>EXP(D62/$E$18)/(EXP($D62/$E$18)+EXP($E62/$E$18)+EXP($D63/$E$18)+EXP($E63/$E$18))</f>
        <v>0.25</v>
      </c>
      <c r="L62" s="385">
        <f>EXP(E62/$E$18)/(EXP($D62/$E$18)+EXP($E62/$E$18)+EXP($D63/$E$18)+EXP($E63/$E$18))</f>
        <v>0.25</v>
      </c>
      <c r="M62" s="386">
        <f>SUM(K62:L62)</f>
        <v>0.5</v>
      </c>
      <c r="O62" s="140"/>
      <c r="P62" s="1701"/>
      <c r="X62" s="546"/>
      <c r="AB62" s="140"/>
    </row>
    <row r="63" spans="2:53" s="8" customFormat="1" ht="15.75" thickBot="1" x14ac:dyDescent="0.3">
      <c r="B63" s="545"/>
      <c r="D63" s="382">
        <v>1</v>
      </c>
      <c r="E63" s="323">
        <v>1</v>
      </c>
      <c r="F63" s="383">
        <f>SUM(D63:E63)</f>
        <v>2</v>
      </c>
      <c r="H63" s="382">
        <f>EXP(D63)</f>
        <v>2.7182818284590451</v>
      </c>
      <c r="I63" s="323">
        <f>EXP(E63)</f>
        <v>2.7182818284590451</v>
      </c>
      <c r="J63" s="140"/>
      <c r="K63" s="387">
        <f>EXP(D63/$E$18)/(EXP($D62/$E$18)+EXP($E62/$E$18)+EXP($D63/$E$18)+EXP($E63/$E$18))</f>
        <v>0.25</v>
      </c>
      <c r="L63" s="388">
        <f>EXP(E63/$E$18)/(EXP($D62/$E$18)+EXP($E62/$E$18)+EXP($D63/$E$18)+EXP($E63/$E$18))</f>
        <v>0.25</v>
      </c>
      <c r="M63" s="389">
        <f>SUM(K63:L63)</f>
        <v>0.5</v>
      </c>
      <c r="N63" s="378"/>
      <c r="O63" s="140"/>
      <c r="P63" s="1701"/>
      <c r="X63" s="546"/>
      <c r="AB63" s="140"/>
    </row>
    <row r="64" spans="2:53" s="8" customFormat="1" x14ac:dyDescent="0.25">
      <c r="B64" s="545"/>
      <c r="D64" s="377">
        <f>SUM(D62:D63)</f>
        <v>2</v>
      </c>
      <c r="E64" s="377">
        <f>SUM(E62:E63)</f>
        <v>2</v>
      </c>
      <c r="F64" s="377"/>
      <c r="H64" s="379"/>
      <c r="I64" s="140"/>
      <c r="J64" s="140"/>
      <c r="K64" s="390">
        <f>SUM(K62:K63)</f>
        <v>0.5</v>
      </c>
      <c r="L64" s="390">
        <f>SUM(L62:L63)</f>
        <v>0.5</v>
      </c>
      <c r="M64" s="390"/>
      <c r="N64" s="378"/>
      <c r="O64" s="140"/>
      <c r="P64" s="1702"/>
      <c r="X64" s="546"/>
      <c r="AB64" s="140"/>
    </row>
    <row r="65" spans="2:28" s="8" customFormat="1" x14ac:dyDescent="0.25">
      <c r="B65" s="545"/>
      <c r="D65" s="377"/>
      <c r="E65" s="377"/>
      <c r="F65" s="377"/>
      <c r="H65" s="379"/>
      <c r="I65" s="140"/>
      <c r="J65" s="140"/>
      <c r="K65" s="378"/>
      <c r="L65" s="378"/>
      <c r="M65" s="378"/>
      <c r="N65" s="378"/>
      <c r="O65" s="140"/>
      <c r="X65" s="546"/>
      <c r="AB65" s="140"/>
    </row>
    <row r="66" spans="2:28" ht="15.75" thickBot="1" x14ac:dyDescent="0.3">
      <c r="B66" s="5"/>
      <c r="C66" s="7"/>
      <c r="D66" s="17"/>
      <c r="E66" s="17"/>
      <c r="F66" s="17"/>
      <c r="G66" s="17"/>
      <c r="H66" s="17"/>
      <c r="I66" s="17"/>
      <c r="J66" s="17"/>
      <c r="K66" s="17"/>
      <c r="L66" s="17"/>
      <c r="M66" s="278">
        <f>K67/SUM(K67:L67)</f>
        <v>0.5</v>
      </c>
      <c r="N66" s="17" t="b">
        <f>M66=M61</f>
        <v>1</v>
      </c>
      <c r="O66" s="17"/>
      <c r="P66" s="1700" t="s">
        <v>191</v>
      </c>
      <c r="Q66" s="17"/>
      <c r="R66" s="893" t="s">
        <v>186</v>
      </c>
      <c r="S66" s="17"/>
      <c r="T66" s="17"/>
      <c r="U66" s="17"/>
      <c r="V66" s="17"/>
      <c r="W66" s="17"/>
      <c r="X66" s="239"/>
    </row>
    <row r="67" spans="2:28" x14ac:dyDescent="0.25">
      <c r="B67" s="545">
        <v>2</v>
      </c>
      <c r="C67" s="8"/>
      <c r="D67" s="380">
        <f>D62</f>
        <v>1</v>
      </c>
      <c r="E67" s="381">
        <f>E62</f>
        <v>1</v>
      </c>
      <c r="F67" s="28">
        <f>SUM(D67:E67)</f>
        <v>2</v>
      </c>
      <c r="G67" s="17"/>
      <c r="H67" s="380">
        <f>EXP(D67)</f>
        <v>2.7182818284590451</v>
      </c>
      <c r="I67" s="381">
        <f>EXP(E67)</f>
        <v>2.7182818284590451</v>
      </c>
      <c r="J67" s="17"/>
      <c r="K67" s="400">
        <f>K62+(K62/SUM(K62:L62))*O67</f>
        <v>0.27500000000000002</v>
      </c>
      <c r="L67" s="398">
        <f>L62+(L62/SUM(K62:L62))*O67</f>
        <v>0.27500000000000002</v>
      </c>
      <c r="M67" s="892">
        <v>0.55000000000000004</v>
      </c>
      <c r="N67" s="8" t="b">
        <f>SUM(K67:L67)=M67</f>
        <v>1</v>
      </c>
      <c r="O67" s="544">
        <f>M67-M62</f>
        <v>5.0000000000000044E-2</v>
      </c>
      <c r="P67" s="1701"/>
      <c r="Q67" s="17"/>
      <c r="R67" s="17"/>
      <c r="S67" s="17"/>
      <c r="T67" s="17"/>
      <c r="U67" s="17"/>
      <c r="V67" s="17"/>
      <c r="W67" s="17"/>
      <c r="X67" s="239"/>
      <c r="AB67" s="33"/>
    </row>
    <row r="68" spans="2:28" ht="15.75" thickBot="1" x14ac:dyDescent="0.3">
      <c r="B68" s="545"/>
      <c r="C68" s="8"/>
      <c r="D68" s="382">
        <f>D63</f>
        <v>1</v>
      </c>
      <c r="E68" s="323">
        <f>E63</f>
        <v>1</v>
      </c>
      <c r="F68" s="383">
        <f>SUM(D68:E68)</f>
        <v>2</v>
      </c>
      <c r="G68" s="17"/>
      <c r="H68" s="382">
        <f>EXP(D68)</f>
        <v>2.7182818284590451</v>
      </c>
      <c r="I68" s="323">
        <f>EXP(E68)</f>
        <v>2.7182818284590451</v>
      </c>
      <c r="J68" s="17"/>
      <c r="K68" s="401">
        <f>K63+(K63/SUM(K63:L63))*O68</f>
        <v>0.22499999999999998</v>
      </c>
      <c r="L68" s="402">
        <f>L63+(L63/SUM(K63:L63))*O68</f>
        <v>0.22499999999999998</v>
      </c>
      <c r="M68" s="386">
        <f>M63+O68</f>
        <v>0.44999999999999996</v>
      </c>
      <c r="N68" s="8" t="b">
        <f>SUM(K68:L68)=M68</f>
        <v>1</v>
      </c>
      <c r="O68" s="544">
        <f>-1*O67</f>
        <v>-5.0000000000000044E-2</v>
      </c>
      <c r="P68" s="1701"/>
      <c r="Q68" s="17"/>
      <c r="R68" s="17"/>
      <c r="S68" s="17"/>
      <c r="T68" s="17"/>
      <c r="U68" s="17"/>
      <c r="V68" s="17"/>
      <c r="W68" s="17"/>
      <c r="X68" s="239"/>
      <c r="AB68" s="33"/>
    </row>
    <row r="69" spans="2:28" x14ac:dyDescent="0.25">
      <c r="B69" s="545"/>
      <c r="C69" s="8"/>
      <c r="D69" s="377">
        <f>SUM(D67:D68)</f>
        <v>2</v>
      </c>
      <c r="E69" s="377">
        <f>SUM(E67:E68)</f>
        <v>2</v>
      </c>
      <c r="F69" s="377"/>
      <c r="G69" s="17"/>
      <c r="H69" s="17"/>
      <c r="I69" s="17"/>
      <c r="J69" s="17"/>
      <c r="K69" s="390">
        <f>SUM(K67:K68)</f>
        <v>0.5</v>
      </c>
      <c r="L69" s="390">
        <f>SUM(L67:L68)</f>
        <v>0.5</v>
      </c>
      <c r="M69" s="390"/>
      <c r="N69" s="378" t="b">
        <f>K69=K64</f>
        <v>1</v>
      </c>
      <c r="O69" s="17"/>
      <c r="P69" s="1702"/>
      <c r="Q69" s="17"/>
      <c r="R69" s="17"/>
      <c r="S69" s="17"/>
      <c r="T69" s="17"/>
      <c r="U69" s="17"/>
      <c r="V69" s="17"/>
      <c r="W69" s="17"/>
      <c r="X69" s="239"/>
      <c r="AB69" s="33"/>
    </row>
    <row r="70" spans="2:28" x14ac:dyDescent="0.25">
      <c r="B70" s="5"/>
      <c r="C70" s="7"/>
      <c r="D70" s="17"/>
      <c r="E70" s="17"/>
      <c r="F70" s="17"/>
      <c r="G70" s="17"/>
      <c r="H70" s="17"/>
      <c r="I70" s="17"/>
      <c r="J70" s="17"/>
      <c r="K70" s="17"/>
      <c r="L70" s="17"/>
      <c r="M70" s="17"/>
      <c r="N70" s="17"/>
      <c r="O70" s="17"/>
      <c r="P70" s="17"/>
      <c r="Q70" s="17"/>
      <c r="R70" s="17"/>
      <c r="S70" s="17"/>
      <c r="T70" s="17"/>
      <c r="U70" s="17"/>
      <c r="V70" s="17"/>
      <c r="W70" s="17"/>
      <c r="X70" s="239"/>
      <c r="AB70" s="33"/>
    </row>
    <row r="71" spans="2:28" ht="15.75" thickBot="1" x14ac:dyDescent="0.3">
      <c r="B71" s="5"/>
      <c r="C71" s="7"/>
      <c r="D71" s="17"/>
      <c r="E71" s="17"/>
      <c r="F71" s="17"/>
      <c r="G71" s="17"/>
      <c r="H71" s="17"/>
      <c r="I71" s="17"/>
      <c r="J71" s="17"/>
      <c r="K71" s="17"/>
      <c r="L71" s="17"/>
      <c r="M71" s="544">
        <f>K72/SUM(K72:L72)</f>
        <v>0.5</v>
      </c>
      <c r="N71" s="514">
        <f>M66/M71</f>
        <v>1</v>
      </c>
      <c r="O71" s="17"/>
      <c r="P71" s="1700" t="s">
        <v>192</v>
      </c>
      <c r="Q71" s="17"/>
      <c r="R71" s="17"/>
      <c r="S71" s="17"/>
      <c r="T71" s="17"/>
      <c r="U71" s="17"/>
      <c r="V71" s="17"/>
      <c r="W71" s="17"/>
      <c r="X71" s="239"/>
      <c r="AB71" s="33"/>
    </row>
    <row r="72" spans="2:28" x14ac:dyDescent="0.25">
      <c r="B72" s="545">
        <v>3</v>
      </c>
      <c r="C72" s="8"/>
      <c r="D72" s="391">
        <v>1.4013357524397883</v>
      </c>
      <c r="E72" s="395">
        <v>1.4013357524397883</v>
      </c>
      <c r="F72" s="28">
        <f>SUM(D72:E72)</f>
        <v>2.8026715048795765</v>
      </c>
      <c r="G72" s="17"/>
      <c r="H72" s="380">
        <f>EXP(D72)</f>
        <v>4.0606203294195504</v>
      </c>
      <c r="I72" s="381">
        <f>EXP(E72)</f>
        <v>4.0606203294195504</v>
      </c>
      <c r="J72" s="17"/>
      <c r="K72" s="384">
        <f>EXP(D72/$E$18)/(EXP($D72/$E$18)+EXP($E72/$E$18)+EXP($D73/$E$18)+EXP($E73/$E$18))</f>
        <v>0.27499964865177878</v>
      </c>
      <c r="L72" s="385">
        <f>EXP(E72/$E$18)/(EXP($D72/$E$18)+EXP($E72/$E$18)+EXP($D73/$E$18)+EXP($E73/$E$18))</f>
        <v>0.27499964865177878</v>
      </c>
      <c r="M72" s="386">
        <f>SUM(K72:L72)</f>
        <v>0.54999929730355757</v>
      </c>
      <c r="N72" s="514">
        <f>M67/M72</f>
        <v>1.0000012776315277</v>
      </c>
      <c r="O72" s="17"/>
      <c r="P72" s="1701"/>
      <c r="Q72" s="17"/>
      <c r="R72" s="17"/>
      <c r="S72" s="17"/>
      <c r="T72" s="17"/>
      <c r="U72" s="17"/>
      <c r="V72" s="17"/>
      <c r="W72" s="17"/>
      <c r="X72" s="239"/>
      <c r="AB72" s="33"/>
    </row>
    <row r="73" spans="2:28" ht="15.75" thickBot="1" x14ac:dyDescent="0.3">
      <c r="B73" s="545"/>
      <c r="C73" s="8"/>
      <c r="D73" s="396">
        <v>1.0000000797395387</v>
      </c>
      <c r="E73" s="397">
        <v>1</v>
      </c>
      <c r="F73" s="383">
        <f>SUM(D73:E73)</f>
        <v>2.0000000797395385</v>
      </c>
      <c r="G73" s="17"/>
      <c r="H73" s="382">
        <f>EXP(D73)</f>
        <v>2.7182820452135932</v>
      </c>
      <c r="I73" s="323">
        <f>EXP(E73)</f>
        <v>2.7182818284590451</v>
      </c>
      <c r="J73" s="17"/>
      <c r="K73" s="387">
        <f>EXP(D73/$E$18)/(EXP($D72/$E$18)+EXP($E72/$E$18)+EXP($D73/$E$18)+EXP($E73/$E$18))</f>
        <v>0.22500035583357725</v>
      </c>
      <c r="L73" s="388">
        <f>EXP(E73/$E$18)/(EXP($D72/$E$18)+EXP($E72/$E$18)+EXP($D73/$E$18)+EXP($E73/$E$18))</f>
        <v>0.22500034686286513</v>
      </c>
      <c r="M73" s="389">
        <f>SUM(K73:L73)</f>
        <v>0.45000070269644238</v>
      </c>
      <c r="N73" s="514">
        <f>M68/M73</f>
        <v>0.99999843845478864</v>
      </c>
      <c r="O73" s="17"/>
      <c r="P73" s="1701"/>
      <c r="Q73" s="17"/>
      <c r="R73" s="17"/>
      <c r="S73" s="17"/>
      <c r="T73" s="17"/>
      <c r="U73" s="17"/>
      <c r="V73" s="17"/>
      <c r="W73" s="17"/>
      <c r="X73" s="239"/>
      <c r="AB73" s="33"/>
    </row>
    <row r="74" spans="2:28" x14ac:dyDescent="0.25">
      <c r="B74" s="545"/>
      <c r="C74" s="8"/>
      <c r="D74" s="377">
        <f>SUM(D72:D73)</f>
        <v>2.4013358321793268</v>
      </c>
      <c r="E74" s="377">
        <f>SUM(E72:E73)</f>
        <v>2.4013357524397883</v>
      </c>
      <c r="F74" s="377"/>
      <c r="G74" s="17"/>
      <c r="H74" s="17"/>
      <c r="I74" s="17"/>
      <c r="J74" s="17"/>
      <c r="K74" s="390">
        <f>SUM(K72:K73)</f>
        <v>0.50000000448535609</v>
      </c>
      <c r="L74" s="390">
        <f>SUM(L72:L73)</f>
        <v>0.49999999551464391</v>
      </c>
      <c r="M74" s="390"/>
      <c r="N74" s="515">
        <f>K74/K69</f>
        <v>1.0000000089707122</v>
      </c>
      <c r="O74" s="17"/>
      <c r="P74" s="1702"/>
      <c r="Q74" s="17"/>
      <c r="R74" s="17"/>
      <c r="S74" s="17"/>
      <c r="T74" s="17"/>
      <c r="U74" s="17"/>
      <c r="V74" s="17"/>
      <c r="W74" s="17"/>
      <c r="X74" s="239"/>
      <c r="AB74" s="33"/>
    </row>
    <row r="75" spans="2:28" x14ac:dyDescent="0.25">
      <c r="B75" s="5"/>
      <c r="C75" s="7"/>
      <c r="D75" s="7"/>
      <c r="E75" s="17"/>
      <c r="F75" s="17"/>
      <c r="G75" s="17"/>
      <c r="H75" s="17"/>
      <c r="I75" s="17"/>
      <c r="J75" s="17"/>
      <c r="K75" s="17"/>
      <c r="L75" s="17"/>
      <c r="M75" s="17"/>
      <c r="N75" s="17"/>
      <c r="O75" s="17"/>
      <c r="P75" s="17"/>
      <c r="Q75" s="17"/>
      <c r="R75" s="17"/>
      <c r="S75" s="17"/>
      <c r="T75" s="17"/>
      <c r="U75" s="17"/>
      <c r="V75" s="17"/>
      <c r="W75" s="17"/>
      <c r="X75" s="239"/>
      <c r="AB75" s="33"/>
    </row>
    <row r="76" spans="2:28" ht="15.75" thickBot="1" x14ac:dyDescent="0.3">
      <c r="B76" s="5"/>
      <c r="C76" s="7"/>
      <c r="D76" s="7"/>
      <c r="E76" s="17"/>
      <c r="F76" s="17"/>
      <c r="G76" s="17"/>
      <c r="H76" s="17"/>
      <c r="I76" s="17"/>
      <c r="J76" s="17"/>
      <c r="K76" s="17"/>
      <c r="L76" s="17"/>
      <c r="M76" s="17"/>
      <c r="N76" s="17"/>
      <c r="O76" s="17"/>
      <c r="P76" s="17"/>
      <c r="Q76" s="17"/>
      <c r="R76" s="17"/>
      <c r="S76" s="17"/>
      <c r="T76" s="17"/>
      <c r="U76" s="17"/>
      <c r="V76" s="17"/>
      <c r="W76" s="17"/>
      <c r="X76" s="239"/>
    </row>
    <row r="77" spans="2:28" ht="15.75" thickBot="1" x14ac:dyDescent="0.3">
      <c r="B77" s="5"/>
      <c r="C77" s="7"/>
      <c r="D77" s="7"/>
      <c r="E77" s="17"/>
      <c r="F77" s="17"/>
      <c r="G77" s="17"/>
      <c r="H77" s="17"/>
      <c r="I77" s="17"/>
      <c r="J77" s="392" t="s">
        <v>36</v>
      </c>
      <c r="K77" s="393" t="s">
        <v>173</v>
      </c>
      <c r="L77" s="17"/>
      <c r="M77" s="17"/>
      <c r="N77" s="17"/>
      <c r="O77" s="17"/>
      <c r="P77" s="17"/>
      <c r="Q77" s="17"/>
      <c r="R77" s="17"/>
      <c r="S77" s="17"/>
      <c r="T77" s="17"/>
      <c r="U77" s="17"/>
      <c r="V77" s="17"/>
      <c r="W77" s="17"/>
      <c r="X77" s="239"/>
    </row>
    <row r="78" spans="2:28" ht="15.75" thickTop="1" x14ac:dyDescent="0.25">
      <c r="B78" s="5"/>
      <c r="C78" s="7"/>
      <c r="D78" s="7"/>
      <c r="E78" s="17"/>
      <c r="F78" s="17"/>
      <c r="G78" s="17"/>
      <c r="H78" s="17"/>
      <c r="I78" s="17">
        <v>2</v>
      </c>
      <c r="J78" s="82">
        <f>$E$18*$E$7*LN(EXP($D67/$E$18) + EXP($E67/$E$18) + EXP($D68/$E$18) +EXP($E68/$E$18) )</f>
        <v>3772.588722239781</v>
      </c>
      <c r="K78" s="206" t="s">
        <v>187</v>
      </c>
      <c r="L78" s="17"/>
      <c r="M78" s="17"/>
      <c r="N78" s="17"/>
      <c r="O78" s="17"/>
      <c r="P78" s="17"/>
      <c r="Q78" s="17"/>
      <c r="R78" s="17"/>
      <c r="S78" s="17"/>
      <c r="T78" s="17"/>
      <c r="U78" s="17"/>
      <c r="V78" s="17"/>
      <c r="W78" s="17"/>
      <c r="X78" s="239"/>
    </row>
    <row r="79" spans="2:28" ht="15.75" thickBot="1" x14ac:dyDescent="0.3">
      <c r="B79" s="5"/>
      <c r="C79" s="7"/>
      <c r="D79" s="548"/>
      <c r="E79" s="549"/>
      <c r="F79" s="17"/>
      <c r="G79" s="17"/>
      <c r="H79" s="17"/>
      <c r="I79" s="17">
        <v>3</v>
      </c>
      <c r="J79" s="83">
        <f>$E$18*$E$7*LN(EXP($D72/$E$18) + EXP($E72/$E$18) + EXP($D73/$E$18) +EXP($E73/$E$18) )</f>
        <v>3983.3066703323429</v>
      </c>
      <c r="K79" s="394">
        <f>J79-J78</f>
        <v>210.71794809256198</v>
      </c>
      <c r="L79" s="17"/>
      <c r="M79" s="17" t="s">
        <v>188</v>
      </c>
      <c r="N79" s="17"/>
      <c r="O79" s="17"/>
      <c r="P79" s="17"/>
      <c r="Q79" s="17"/>
      <c r="R79" s="17"/>
      <c r="S79" s="17"/>
      <c r="T79" s="17"/>
      <c r="U79" s="17"/>
      <c r="V79" s="17"/>
      <c r="W79" s="17"/>
      <c r="X79" s="239"/>
    </row>
    <row r="80" spans="2:28" x14ac:dyDescent="0.25">
      <c r="B80" s="5"/>
      <c r="C80" s="7"/>
      <c r="D80" s="7"/>
      <c r="E80" s="17"/>
      <c r="F80" s="17"/>
      <c r="G80" s="17"/>
      <c r="H80" s="17"/>
      <c r="I80" s="17"/>
      <c r="J80" s="17"/>
      <c r="K80" s="17"/>
      <c r="L80" s="17"/>
      <c r="M80" s="17" t="s">
        <v>194</v>
      </c>
      <c r="N80" s="17"/>
      <c r="O80" s="17"/>
      <c r="P80" s="17"/>
      <c r="Q80" s="17"/>
      <c r="R80" s="17"/>
      <c r="S80" s="17"/>
      <c r="T80" s="17"/>
      <c r="U80" s="17"/>
      <c r="V80" s="17"/>
      <c r="W80" s="17"/>
      <c r="X80" s="239"/>
    </row>
    <row r="81" spans="2:24" x14ac:dyDescent="0.25">
      <c r="B81" s="5"/>
      <c r="C81" s="7"/>
      <c r="D81" s="7"/>
      <c r="E81" s="17"/>
      <c r="F81" s="17"/>
      <c r="G81" s="17"/>
      <c r="H81" s="17"/>
      <c r="I81" s="17"/>
      <c r="J81" s="17"/>
      <c r="K81" s="17"/>
      <c r="L81" s="17"/>
      <c r="M81" s="17" t="s">
        <v>196</v>
      </c>
      <c r="N81" s="17" t="s">
        <v>197</v>
      </c>
      <c r="O81" s="17"/>
      <c r="P81" s="17"/>
      <c r="Q81" s="17"/>
      <c r="R81" s="17"/>
      <c r="S81" s="17"/>
      <c r="T81" s="17"/>
      <c r="U81" s="17"/>
      <c r="V81" s="17"/>
      <c r="W81" s="17"/>
      <c r="X81" s="239"/>
    </row>
    <row r="82" spans="2:24" x14ac:dyDescent="0.25">
      <c r="B82" s="5"/>
      <c r="C82" s="7"/>
      <c r="D82" s="7"/>
      <c r="E82" s="17"/>
      <c r="F82" s="17"/>
      <c r="G82" s="17"/>
      <c r="H82" s="17"/>
      <c r="I82" s="17"/>
      <c r="J82" s="17"/>
      <c r="K82" s="17"/>
      <c r="L82" s="17"/>
      <c r="M82" s="17" t="s">
        <v>198</v>
      </c>
      <c r="N82" s="17" t="s">
        <v>199</v>
      </c>
      <c r="O82" s="17"/>
      <c r="P82" s="17"/>
      <c r="Q82" s="17"/>
      <c r="R82" s="17"/>
      <c r="S82" s="17"/>
      <c r="T82" s="17"/>
      <c r="U82" s="17"/>
      <c r="V82" s="17"/>
      <c r="W82" s="17"/>
      <c r="X82" s="239"/>
    </row>
    <row r="83" spans="2:24" x14ac:dyDescent="0.25">
      <c r="B83" s="5"/>
      <c r="C83" s="7"/>
      <c r="D83" s="7"/>
      <c r="E83" s="17"/>
      <c r="F83" s="17"/>
      <c r="G83" s="17"/>
      <c r="H83" s="17"/>
      <c r="I83" s="17"/>
      <c r="J83" s="17"/>
      <c r="K83" s="17"/>
      <c r="L83" s="17"/>
      <c r="M83" s="17"/>
      <c r="N83" s="17" t="s">
        <v>200</v>
      </c>
      <c r="O83" s="17"/>
      <c r="P83" s="17"/>
      <c r="Q83" s="17"/>
      <c r="R83" s="17"/>
      <c r="S83" s="17"/>
      <c r="T83" s="17"/>
      <c r="U83" s="17"/>
      <c r="V83" s="17"/>
      <c r="W83" s="17"/>
      <c r="X83" s="239"/>
    </row>
    <row r="84" spans="2:24" x14ac:dyDescent="0.25">
      <c r="B84" s="5"/>
      <c r="C84" s="7"/>
      <c r="D84" s="7"/>
      <c r="E84" s="17"/>
      <c r="F84" s="17"/>
      <c r="G84" s="17"/>
      <c r="H84" s="17"/>
      <c r="I84" s="17"/>
      <c r="J84" s="17"/>
      <c r="K84" s="17"/>
      <c r="L84" s="17"/>
      <c r="M84" s="17"/>
      <c r="N84" s="17"/>
      <c r="O84" s="17"/>
      <c r="P84" s="17"/>
      <c r="Q84" s="17"/>
      <c r="R84" s="17"/>
      <c r="S84" s="17"/>
      <c r="T84" s="17"/>
      <c r="U84" s="17"/>
      <c r="V84" s="17"/>
      <c r="W84" s="17"/>
      <c r="X84" s="239"/>
    </row>
    <row r="85" spans="2:24" x14ac:dyDescent="0.25">
      <c r="B85" s="5"/>
      <c r="C85" s="7"/>
      <c r="D85" s="7"/>
      <c r="E85" s="17"/>
      <c r="F85" s="17"/>
      <c r="G85" s="17"/>
      <c r="H85" s="17"/>
      <c r="I85" s="17"/>
      <c r="J85" s="17"/>
      <c r="K85" s="17"/>
      <c r="L85" s="17"/>
      <c r="M85" s="17"/>
      <c r="N85" s="17"/>
      <c r="O85" s="17"/>
      <c r="P85" s="17"/>
      <c r="Q85" s="17"/>
      <c r="R85" s="17"/>
      <c r="S85" s="17"/>
      <c r="T85" s="17"/>
      <c r="U85" s="17"/>
      <c r="V85" s="17"/>
      <c r="W85" s="17"/>
      <c r="X85" s="239"/>
    </row>
    <row r="86" spans="2:24" x14ac:dyDescent="0.25">
      <c r="B86" s="5"/>
      <c r="C86" s="7"/>
      <c r="D86" s="7"/>
      <c r="E86" s="17"/>
      <c r="F86" s="17"/>
      <c r="G86" s="17"/>
      <c r="H86" s="17"/>
      <c r="I86" s="17"/>
      <c r="J86" s="17"/>
      <c r="K86" s="17"/>
      <c r="L86" s="17"/>
      <c r="M86" s="17"/>
      <c r="N86" s="17"/>
      <c r="O86" s="17"/>
      <c r="P86" s="17"/>
      <c r="Q86" s="17"/>
      <c r="R86" s="17"/>
      <c r="S86" s="17"/>
      <c r="T86" s="17"/>
      <c r="U86" s="17"/>
      <c r="V86" s="17"/>
      <c r="W86" s="17"/>
      <c r="X86" s="239"/>
    </row>
    <row r="87" spans="2:24" x14ac:dyDescent="0.25">
      <c r="B87" s="5"/>
      <c r="C87" s="7"/>
      <c r="D87" s="17"/>
      <c r="E87" s="17"/>
      <c r="F87" s="17"/>
      <c r="G87" s="17"/>
      <c r="H87" s="17"/>
      <c r="I87" s="17"/>
      <c r="J87" s="17"/>
      <c r="K87" s="17"/>
      <c r="L87" s="17"/>
      <c r="M87" s="17"/>
      <c r="N87" s="17"/>
      <c r="O87" s="17"/>
      <c r="P87" s="17"/>
      <c r="Q87" s="17"/>
      <c r="R87" s="17"/>
      <c r="S87" s="17"/>
      <c r="T87" s="17"/>
      <c r="U87" s="17"/>
      <c r="V87" s="17"/>
      <c r="W87" s="17"/>
      <c r="X87" s="239"/>
    </row>
    <row r="88" spans="2:24" x14ac:dyDescent="0.25">
      <c r="B88" s="5"/>
      <c r="C88" s="7"/>
      <c r="D88" s="278"/>
      <c r="E88" s="548"/>
      <c r="F88" s="17"/>
      <c r="G88" s="17"/>
      <c r="H88" s="17"/>
      <c r="I88" s="17"/>
      <c r="J88" s="17"/>
      <c r="K88" s="17"/>
      <c r="L88" s="17"/>
      <c r="M88" s="17"/>
      <c r="N88" s="17"/>
      <c r="O88" s="17"/>
      <c r="P88" s="17"/>
      <c r="Q88" s="17"/>
      <c r="R88" s="17"/>
      <c r="S88" s="17"/>
      <c r="T88" s="17"/>
      <c r="U88" s="17"/>
      <c r="V88" s="17"/>
      <c r="W88" s="17"/>
      <c r="X88" s="239"/>
    </row>
    <row r="89" spans="2:24" x14ac:dyDescent="0.25">
      <c r="B89" s="5"/>
      <c r="C89" s="7"/>
      <c r="D89" s="17"/>
      <c r="E89" s="550"/>
      <c r="F89" s="17"/>
      <c r="G89" s="17"/>
      <c r="H89" s="17"/>
      <c r="I89" s="17"/>
      <c r="J89" s="17"/>
      <c r="K89" s="17"/>
      <c r="L89" s="17"/>
      <c r="M89" s="17"/>
      <c r="N89" s="17"/>
      <c r="O89" s="17"/>
      <c r="P89" s="17"/>
      <c r="Q89" s="17"/>
      <c r="R89" s="17"/>
      <c r="S89" s="17"/>
      <c r="T89" s="17"/>
      <c r="U89" s="17"/>
      <c r="V89" s="17"/>
      <c r="W89" s="17"/>
      <c r="X89" s="239"/>
    </row>
    <row r="90" spans="2:24" x14ac:dyDescent="0.25">
      <c r="B90" s="5"/>
      <c r="C90" s="7"/>
      <c r="D90" s="17"/>
      <c r="E90" s="17"/>
      <c r="F90" s="17"/>
      <c r="G90" s="17"/>
      <c r="H90" s="17"/>
      <c r="I90" s="17"/>
      <c r="J90" s="17"/>
      <c r="K90" s="17"/>
      <c r="L90" s="17"/>
      <c r="M90" s="17"/>
      <c r="N90" s="17"/>
      <c r="O90" s="17"/>
      <c r="P90" s="17"/>
      <c r="Q90" s="17"/>
      <c r="R90" s="17"/>
      <c r="S90" s="17"/>
      <c r="T90" s="17"/>
      <c r="U90" s="17"/>
      <c r="V90" s="17"/>
      <c r="W90" s="17"/>
      <c r="X90" s="239"/>
    </row>
    <row r="91" spans="2:24" x14ac:dyDescent="0.25">
      <c r="B91" s="5"/>
      <c r="C91" s="7"/>
      <c r="D91" s="544"/>
      <c r="E91" s="551"/>
      <c r="F91" s="17"/>
      <c r="G91" s="17"/>
      <c r="H91" s="17"/>
      <c r="I91" s="17"/>
      <c r="J91" s="17"/>
      <c r="K91" s="17"/>
      <c r="L91" s="17"/>
      <c r="M91" s="17"/>
      <c r="N91" s="17"/>
      <c r="O91" s="17"/>
      <c r="P91" s="17"/>
      <c r="Q91" s="17"/>
      <c r="R91" s="17"/>
      <c r="S91" s="17"/>
      <c r="T91" s="17"/>
      <c r="U91" s="17"/>
      <c r="V91" s="17"/>
      <c r="W91" s="17"/>
      <c r="X91" s="239"/>
    </row>
    <row r="92" spans="2:24" x14ac:dyDescent="0.25">
      <c r="B92" s="5"/>
      <c r="C92" s="7"/>
      <c r="D92" s="17"/>
      <c r="E92" s="17"/>
      <c r="F92" s="17"/>
      <c r="G92" s="17"/>
      <c r="H92" s="17"/>
      <c r="I92" s="17"/>
      <c r="J92" s="17"/>
      <c r="K92" s="17"/>
      <c r="L92" s="17"/>
      <c r="M92" s="17"/>
      <c r="N92" s="17"/>
      <c r="O92" s="17"/>
      <c r="P92" s="17"/>
      <c r="Q92" s="17"/>
      <c r="R92" s="17"/>
      <c r="S92" s="17"/>
      <c r="T92" s="17"/>
      <c r="U92" s="17"/>
      <c r="V92" s="17"/>
      <c r="W92" s="17"/>
      <c r="X92" s="239"/>
    </row>
    <row r="93" spans="2:24" x14ac:dyDescent="0.25">
      <c r="B93" s="5"/>
      <c r="C93" s="7"/>
      <c r="D93" s="17"/>
      <c r="E93" s="17"/>
      <c r="F93" s="17"/>
      <c r="G93" s="17"/>
      <c r="H93" s="17"/>
      <c r="I93" s="17"/>
      <c r="J93" s="17"/>
      <c r="K93" s="17"/>
      <c r="L93" s="17"/>
      <c r="M93" s="17"/>
      <c r="N93" s="17"/>
      <c r="O93" s="17"/>
      <c r="P93" s="17"/>
      <c r="Q93" s="17"/>
      <c r="R93" s="17"/>
      <c r="S93" s="17"/>
      <c r="T93" s="17"/>
      <c r="U93" s="17"/>
      <c r="V93" s="17"/>
      <c r="W93" s="17"/>
      <c r="X93" s="239"/>
    </row>
    <row r="94" spans="2:24" x14ac:dyDescent="0.25">
      <c r="B94" s="2"/>
      <c r="C94" s="245"/>
      <c r="D94" s="289"/>
      <c r="E94" s="257"/>
      <c r="F94" s="257"/>
      <c r="G94" s="257"/>
      <c r="H94" s="257"/>
      <c r="I94" s="257"/>
      <c r="J94" s="257"/>
      <c r="K94" s="257"/>
      <c r="L94" s="257"/>
      <c r="M94" s="257"/>
      <c r="N94" s="257"/>
      <c r="O94" s="257"/>
      <c r="P94" s="257"/>
      <c r="Q94" s="257"/>
      <c r="R94" s="257"/>
      <c r="S94" s="257"/>
      <c r="T94" s="257"/>
      <c r="U94" s="257"/>
      <c r="V94" s="257"/>
      <c r="W94" s="257"/>
      <c r="X94" s="260"/>
    </row>
  </sheetData>
  <dataConsolidate/>
  <mergeCells count="7">
    <mergeCell ref="AR23:AS23"/>
    <mergeCell ref="P66:P69"/>
    <mergeCell ref="P71:P74"/>
    <mergeCell ref="P61:P64"/>
    <mergeCell ref="C4:C10"/>
    <mergeCell ref="C12:C14"/>
    <mergeCell ref="C16:C2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BG106"/>
  <sheetViews>
    <sheetView zoomScale="85" zoomScaleNormal="85" workbookViewId="0">
      <selection activeCell="U25" sqref="U25"/>
    </sheetView>
  </sheetViews>
  <sheetFormatPr defaultRowHeight="15" x14ac:dyDescent="0.25"/>
  <cols>
    <col min="2" max="3" width="7.140625" customWidth="1"/>
    <col min="4" max="5" width="8.7109375" customWidth="1"/>
    <col min="6" max="8" width="7.140625" customWidth="1"/>
    <col min="9" max="9" width="9.140625" customWidth="1"/>
    <col min="10" max="10" width="8.85546875" customWidth="1"/>
    <col min="11" max="12" width="9" customWidth="1"/>
    <col min="13" max="13" width="9.42578125" customWidth="1"/>
    <col min="14" max="30" width="11.42578125" style="33" customWidth="1"/>
    <col min="31" max="32" width="12" style="33" customWidth="1"/>
    <col min="33" max="33" width="14.140625" customWidth="1"/>
    <col min="34" max="34" width="12.85546875" customWidth="1"/>
    <col min="35" max="35" width="12.7109375" customWidth="1"/>
    <col min="36" max="37" width="11.42578125" customWidth="1"/>
    <col min="38" max="38" width="11.7109375" customWidth="1"/>
    <col min="39" max="39" width="13.140625" customWidth="1"/>
    <col min="40" max="40" width="12.85546875" customWidth="1"/>
    <col min="41" max="41" width="12.140625" customWidth="1"/>
    <col min="42" max="42" width="10.5703125" customWidth="1"/>
    <col min="43" max="44" width="9.140625" customWidth="1"/>
    <col min="45" max="45" width="11.140625" customWidth="1"/>
    <col min="46" max="53" width="8.85546875" customWidth="1"/>
    <col min="54" max="55" width="10.42578125" customWidth="1"/>
  </cols>
  <sheetData>
    <row r="2" spans="3:32" ht="31.5" x14ac:dyDescent="0.5">
      <c r="C2" s="186" t="s">
        <v>307</v>
      </c>
    </row>
    <row r="3" spans="3:32" ht="21" x14ac:dyDescent="0.35">
      <c r="M3" s="139"/>
    </row>
    <row r="4" spans="3:32" ht="21" x14ac:dyDescent="0.35">
      <c r="M4" s="139"/>
    </row>
    <row r="5" spans="3:32" ht="15.75" thickBot="1" x14ac:dyDescent="0.3">
      <c r="M5" s="1564" t="s">
        <v>159</v>
      </c>
      <c r="N5" s="1" t="s">
        <v>101</v>
      </c>
      <c r="O5" s="150" t="s">
        <v>647</v>
      </c>
      <c r="P5" s="150"/>
      <c r="Q5" s="264"/>
      <c r="R5" s="264"/>
      <c r="S5" s="264"/>
      <c r="T5" s="259"/>
      <c r="U5" s="17"/>
      <c r="V5" s="17"/>
    </row>
    <row r="6" spans="3:32" x14ac:dyDescent="0.25">
      <c r="M6" s="1565"/>
      <c r="N6" s="290" t="s">
        <v>145</v>
      </c>
      <c r="O6" s="655">
        <v>60</v>
      </c>
      <c r="P6" s="7" t="s">
        <v>146</v>
      </c>
      <c r="Q6" s="17"/>
      <c r="R6" s="17"/>
      <c r="S6" s="17"/>
      <c r="T6" s="239"/>
      <c r="U6" s="17"/>
      <c r="V6" s="17"/>
    </row>
    <row r="7" spans="3:32" ht="15.75" thickBot="1" x14ac:dyDescent="0.3">
      <c r="M7" s="1565"/>
      <c r="N7" s="290" t="s">
        <v>148</v>
      </c>
      <c r="O7" s="656">
        <v>150</v>
      </c>
      <c r="P7" s="7" t="s">
        <v>147</v>
      </c>
      <c r="Q7" s="17"/>
      <c r="R7" s="17"/>
      <c r="S7" s="17"/>
      <c r="T7" s="239"/>
      <c r="U7" s="17"/>
      <c r="V7" s="17"/>
    </row>
    <row r="8" spans="3:32" x14ac:dyDescent="0.25">
      <c r="M8" s="1565"/>
      <c r="N8" s="657" t="s">
        <v>149</v>
      </c>
      <c r="O8" s="18">
        <f>O7-O6</f>
        <v>90</v>
      </c>
      <c r="P8" s="7" t="s">
        <v>150</v>
      </c>
      <c r="Q8" s="17"/>
      <c r="R8" s="17"/>
      <c r="S8" s="17"/>
      <c r="T8" s="239"/>
      <c r="U8" s="17"/>
      <c r="V8" s="17"/>
    </row>
    <row r="9" spans="3:32" x14ac:dyDescent="0.25">
      <c r="M9" s="1565"/>
      <c r="N9" s="657" t="s">
        <v>153</v>
      </c>
      <c r="O9" s="190"/>
      <c r="P9" s="8" t="s">
        <v>156</v>
      </c>
      <c r="Q9" s="17"/>
      <c r="R9" s="17"/>
      <c r="S9" s="17"/>
      <c r="T9" s="239"/>
      <c r="U9" s="17"/>
      <c r="V9" s="17"/>
      <c r="W9"/>
      <c r="X9"/>
      <c r="Y9"/>
    </row>
    <row r="10" spans="3:32" x14ac:dyDescent="0.25">
      <c r="M10" s="1565"/>
      <c r="N10" s="657" t="s">
        <v>154</v>
      </c>
      <c r="O10" s="190"/>
      <c r="P10" s="8" t="s">
        <v>157</v>
      </c>
      <c r="Q10" s="17"/>
      <c r="R10" s="17"/>
      <c r="S10" s="17"/>
      <c r="T10" s="239"/>
      <c r="U10" s="17"/>
      <c r="V10" s="17"/>
      <c r="W10"/>
      <c r="X10"/>
      <c r="Y10"/>
      <c r="Z10"/>
      <c r="AA10"/>
      <c r="AB10"/>
      <c r="AC10"/>
      <c r="AD10"/>
      <c r="AE10"/>
      <c r="AF10"/>
    </row>
    <row r="11" spans="3:32" x14ac:dyDescent="0.25">
      <c r="M11" s="1566"/>
      <c r="N11" s="658" t="s">
        <v>155</v>
      </c>
      <c r="O11" s="266"/>
      <c r="P11" s="267" t="s">
        <v>158</v>
      </c>
      <c r="Q11" s="257"/>
      <c r="R11" s="257"/>
      <c r="S11" s="257"/>
      <c r="T11" s="260"/>
      <c r="U11" s="17"/>
      <c r="V11" s="17"/>
      <c r="W11"/>
      <c r="X11"/>
      <c r="Y11"/>
      <c r="Z11"/>
      <c r="AA11"/>
      <c r="AB11"/>
      <c r="AC11"/>
      <c r="AD11"/>
    </row>
    <row r="12" spans="3:32" x14ac:dyDescent="0.25">
      <c r="M12" s="256"/>
      <c r="N12" s="140"/>
      <c r="O12" s="190"/>
      <c r="P12" s="8"/>
      <c r="Q12" s="17"/>
      <c r="R12" s="17"/>
      <c r="S12" s="17"/>
      <c r="T12" s="17"/>
      <c r="U12" s="17"/>
      <c r="V12" s="17"/>
      <c r="W12"/>
      <c r="AB12"/>
      <c r="AC12"/>
      <c r="AD12"/>
    </row>
    <row r="13" spans="3:32" ht="15.75" thickBot="1" x14ac:dyDescent="0.3">
      <c r="M13" s="1564" t="s">
        <v>260</v>
      </c>
      <c r="N13" s="1" t="s">
        <v>101</v>
      </c>
      <c r="O13" s="150" t="s">
        <v>261</v>
      </c>
      <c r="P13" s="150"/>
      <c r="Q13" s="264"/>
      <c r="R13" s="264"/>
      <c r="S13" s="264"/>
      <c r="T13" s="259"/>
      <c r="U13" s="17"/>
      <c r="V13" s="17"/>
      <c r="W13"/>
      <c r="AB13"/>
      <c r="AC13"/>
      <c r="AD13"/>
    </row>
    <row r="14" spans="3:32" x14ac:dyDescent="0.25">
      <c r="M14" s="1565"/>
      <c r="N14" s="290" t="s">
        <v>145</v>
      </c>
      <c r="O14" s="655">
        <f>O6^2</f>
        <v>3600</v>
      </c>
      <c r="P14" s="7" t="s">
        <v>146</v>
      </c>
      <c r="Q14" s="17"/>
      <c r="R14" s="17"/>
      <c r="S14" s="17"/>
      <c r="T14" s="239"/>
      <c r="U14" s="17"/>
      <c r="V14" s="17"/>
      <c r="W14"/>
      <c r="AB14"/>
      <c r="AC14"/>
      <c r="AD14"/>
    </row>
    <row r="15" spans="3:32" s="33" customFormat="1" ht="15.75" thickBot="1" x14ac:dyDescent="0.3">
      <c r="M15" s="1565"/>
      <c r="N15" s="290" t="s">
        <v>148</v>
      </c>
      <c r="O15" s="656">
        <f>O7^2</f>
        <v>22500</v>
      </c>
      <c r="P15" s="7" t="s">
        <v>147</v>
      </c>
      <c r="Q15" s="17"/>
      <c r="R15" s="17"/>
      <c r="S15" s="17"/>
      <c r="T15" s="239"/>
      <c r="U15" s="17"/>
      <c r="V15" s="17"/>
      <c r="W15"/>
      <c r="AB15"/>
      <c r="AC15"/>
      <c r="AD15"/>
    </row>
    <row r="16" spans="3:32" s="33" customFormat="1" x14ac:dyDescent="0.25">
      <c r="M16" s="1565"/>
      <c r="N16" s="657" t="s">
        <v>149</v>
      </c>
      <c r="O16" s="18">
        <f>O15-O14</f>
        <v>18900</v>
      </c>
      <c r="P16" s="7" t="s">
        <v>150</v>
      </c>
      <c r="Q16" s="17"/>
      <c r="R16" s="17"/>
      <c r="S16" s="17"/>
      <c r="T16" s="239"/>
      <c r="U16" s="17"/>
      <c r="V16" s="17"/>
      <c r="W16"/>
      <c r="AB16"/>
      <c r="AC16"/>
      <c r="AD16"/>
    </row>
    <row r="17" spans="2:57" s="33" customFormat="1" x14ac:dyDescent="0.25">
      <c r="M17" s="1565"/>
      <c r="N17" s="657" t="s">
        <v>153</v>
      </c>
      <c r="O17" s="190"/>
      <c r="P17" s="8" t="s">
        <v>156</v>
      </c>
      <c r="Q17" s="17"/>
      <c r="R17" s="17"/>
      <c r="S17" s="17"/>
      <c r="T17" s="239"/>
      <c r="U17" s="17"/>
      <c r="V17" s="17"/>
      <c r="W17"/>
      <c r="AB17"/>
      <c r="AC17"/>
      <c r="AD17"/>
    </row>
    <row r="18" spans="2:57" s="33" customFormat="1" x14ac:dyDescent="0.25">
      <c r="M18" s="1565"/>
      <c r="N18" s="657" t="s">
        <v>154</v>
      </c>
      <c r="O18" s="190"/>
      <c r="P18" s="8" t="s">
        <v>157</v>
      </c>
      <c r="Q18" s="17"/>
      <c r="R18" s="17"/>
      <c r="S18" s="17"/>
      <c r="T18" s="239"/>
      <c r="U18" s="17"/>
      <c r="V18" s="17"/>
      <c r="W18"/>
      <c r="AB18"/>
      <c r="AC18"/>
      <c r="AD18"/>
    </row>
    <row r="19" spans="2:57" s="33" customFormat="1" x14ac:dyDescent="0.25">
      <c r="M19" s="1566"/>
      <c r="N19" s="658" t="s">
        <v>155</v>
      </c>
      <c r="O19" s="266"/>
      <c r="P19" s="267" t="s">
        <v>158</v>
      </c>
      <c r="Q19" s="257"/>
      <c r="R19" s="257"/>
      <c r="S19" s="257"/>
      <c r="T19" s="260"/>
      <c r="U19" s="17"/>
      <c r="V19" s="17"/>
      <c r="W19"/>
      <c r="AB19"/>
      <c r="AC19"/>
      <c r="AD19"/>
    </row>
    <row r="20" spans="2:57" s="33" customFormat="1" ht="15.75" thickBot="1" x14ac:dyDescent="0.3">
      <c r="M20" s="256"/>
      <c r="N20" s="140"/>
      <c r="O20" s="190"/>
      <c r="P20" s="8"/>
      <c r="Q20" s="17"/>
      <c r="R20" s="17"/>
      <c r="S20" s="17"/>
      <c r="T20" s="17"/>
      <c r="U20" s="17"/>
      <c r="W20"/>
      <c r="AB20"/>
      <c r="AC20"/>
      <c r="AD20"/>
    </row>
    <row r="21" spans="2:57" s="33" customFormat="1" x14ac:dyDescent="0.25">
      <c r="M21" s="1567" t="s">
        <v>148</v>
      </c>
      <c r="N21" s="273" t="s">
        <v>160</v>
      </c>
      <c r="O21" s="274" t="s">
        <v>164</v>
      </c>
      <c r="P21" s="251" t="s">
        <v>162</v>
      </c>
      <c r="Q21" s="251"/>
      <c r="R21" s="251"/>
      <c r="S21" s="249"/>
      <c r="W21"/>
      <c r="AB21"/>
      <c r="AC21"/>
      <c r="AD21"/>
    </row>
    <row r="22" spans="2:57" ht="15.75" thickBot="1" x14ac:dyDescent="0.3">
      <c r="M22" s="1568"/>
      <c r="N22" s="17" t="s">
        <v>135</v>
      </c>
      <c r="O22" s="254">
        <v>4</v>
      </c>
      <c r="P22" s="17" t="s">
        <v>136</v>
      </c>
      <c r="Q22" s="17"/>
      <c r="R22" s="17"/>
      <c r="S22" s="195"/>
      <c r="W22"/>
      <c r="AB22"/>
      <c r="AC22"/>
      <c r="AD22"/>
    </row>
    <row r="23" spans="2:57" ht="15.75" customHeight="1" thickBot="1" x14ac:dyDescent="0.3">
      <c r="M23" s="1568"/>
      <c r="N23" s="17" t="s">
        <v>5</v>
      </c>
      <c r="O23" s="659">
        <v>1</v>
      </c>
      <c r="P23" s="17" t="s">
        <v>139</v>
      </c>
      <c r="Q23" s="17"/>
      <c r="R23" s="17"/>
      <c r="S23" s="195"/>
      <c r="W23"/>
      <c r="AB23"/>
      <c r="AC23"/>
      <c r="AD23"/>
    </row>
    <row r="24" spans="2:57" ht="15.75" thickBot="1" x14ac:dyDescent="0.3">
      <c r="M24" s="1569"/>
      <c r="N24" s="166" t="s">
        <v>137</v>
      </c>
      <c r="O24" s="275">
        <f>O23*LN(O22)</f>
        <v>1.3862943611198906</v>
      </c>
      <c r="P24" s="166" t="s">
        <v>138</v>
      </c>
      <c r="Q24" s="252"/>
      <c r="R24" s="252"/>
      <c r="S24" s="250"/>
      <c r="U24" s="622"/>
      <c r="V24" s="622"/>
      <c r="W24" s="622"/>
      <c r="X24" s="622"/>
      <c r="Y24"/>
      <c r="Z24"/>
      <c r="AA24"/>
      <c r="AB24"/>
      <c r="AC24"/>
      <c r="AD24"/>
    </row>
    <row r="25" spans="2:57" x14ac:dyDescent="0.25">
      <c r="M25" s="7"/>
      <c r="N25" s="253"/>
      <c r="O25" s="7"/>
      <c r="P25" s="17"/>
      <c r="Q25" s="17"/>
      <c r="R25" s="17"/>
      <c r="W25"/>
      <c r="X25"/>
      <c r="Y25"/>
      <c r="Z25"/>
      <c r="AA25"/>
      <c r="AB25"/>
      <c r="AC25"/>
      <c r="AD25"/>
    </row>
    <row r="26" spans="2:57" ht="15.75" thickBot="1" x14ac:dyDescent="0.3">
      <c r="F26" s="7"/>
      <c r="G26" s="7"/>
      <c r="H26" s="7"/>
      <c r="AF26" s="140"/>
      <c r="AG26" s="8"/>
      <c r="AH26" s="8"/>
      <c r="AI26" s="8"/>
      <c r="AJ26" s="8"/>
      <c r="AK26" s="8"/>
      <c r="AL26" s="8"/>
      <c r="AM26" s="8"/>
      <c r="AO26" s="8"/>
      <c r="AP26" s="8"/>
      <c r="AQ26" s="8"/>
      <c r="AR26" s="8"/>
      <c r="AS26" s="8"/>
      <c r="AT26" s="8"/>
      <c r="AU26" s="8"/>
    </row>
    <row r="27" spans="2:57" ht="19.5" thickBot="1" x14ac:dyDescent="0.35">
      <c r="C27" s="1589" t="s">
        <v>73</v>
      </c>
      <c r="D27" s="1589"/>
      <c r="E27" s="1589"/>
      <c r="F27" s="1589"/>
      <c r="H27" s="1706" t="s">
        <v>172</v>
      </c>
      <c r="I27" s="1706"/>
      <c r="J27" s="1706"/>
      <c r="K27" s="1706"/>
      <c r="N27" s="199" t="s">
        <v>12</v>
      </c>
      <c r="O27" s="200"/>
      <c r="P27" s="200"/>
      <c r="Q27" s="201"/>
      <c r="R27" s="199" t="s">
        <v>220</v>
      </c>
      <c r="S27" s="200"/>
      <c r="T27" s="200"/>
      <c r="U27" s="201"/>
      <c r="V27" s="199" t="s">
        <v>219</v>
      </c>
      <c r="W27" s="200"/>
      <c r="X27" s="200"/>
      <c r="Y27" s="201"/>
      <c r="Z27" s="199" t="s">
        <v>218</v>
      </c>
      <c r="AA27" s="200"/>
      <c r="AB27" s="200"/>
      <c r="AC27" s="201"/>
      <c r="AD27" s="199" t="s">
        <v>222</v>
      </c>
      <c r="AE27" s="200"/>
      <c r="AF27" s="200"/>
      <c r="AG27" s="201"/>
      <c r="AH27" s="199" t="s">
        <v>221</v>
      </c>
      <c r="AI27" s="200"/>
      <c r="AJ27" s="200"/>
      <c r="AK27" s="201"/>
      <c r="AL27" s="199" t="s">
        <v>36</v>
      </c>
      <c r="AM27" s="201" t="s">
        <v>35</v>
      </c>
      <c r="AN27" s="193"/>
      <c r="AO27" s="898"/>
      <c r="AP27" s="898"/>
      <c r="AQ27" s="477"/>
      <c r="AR27" s="8"/>
      <c r="AS27" s="8"/>
      <c r="AT27" s="141"/>
      <c r="AU27" s="243"/>
      <c r="AV27" s="20"/>
      <c r="AW27" s="20"/>
      <c r="AX27" s="20"/>
      <c r="AY27" s="7"/>
      <c r="AZ27" s="7"/>
      <c r="BA27" s="7"/>
      <c r="BB27" s="7"/>
      <c r="BC27" s="7"/>
      <c r="BD27" s="7"/>
      <c r="BE27" s="7"/>
    </row>
    <row r="28" spans="2:57" ht="15.75" thickBot="1" x14ac:dyDescent="0.3">
      <c r="C28" s="660" t="s">
        <v>262</v>
      </c>
      <c r="D28" s="661" t="s">
        <v>263</v>
      </c>
      <c r="E28" s="661" t="str">
        <f>J28</f>
        <v>SD</v>
      </c>
      <c r="F28" s="662" t="s">
        <v>264</v>
      </c>
      <c r="H28" s="663" t="s">
        <v>262</v>
      </c>
      <c r="I28" s="664" t="s">
        <v>263</v>
      </c>
      <c r="J28" s="665" t="s">
        <v>265</v>
      </c>
      <c r="K28" s="663" t="s">
        <v>264</v>
      </c>
      <c r="L28" s="666" t="s">
        <v>266</v>
      </c>
      <c r="M28" s="115" t="s">
        <v>45</v>
      </c>
      <c r="N28" s="247" t="str">
        <f>"S("&amp;$O$6&amp;", "&amp;$O$14&amp;")"</f>
        <v>S(60, 3600)</v>
      </c>
      <c r="O28" s="176" t="str">
        <f>"S("&amp;$O$6&amp;", "&amp;$O$15&amp;")"</f>
        <v>S(60, 22500)</v>
      </c>
      <c r="P28" s="173" t="str">
        <f>"S("&amp;$O$7&amp;", "&amp;$O$14&amp;")"</f>
        <v>S(150, 3600)</v>
      </c>
      <c r="Q28" s="313" t="str">
        <f>"S("&amp;$O$7&amp;", "&amp;$O$15&amp;")"</f>
        <v>S(150, 22500)</v>
      </c>
      <c r="R28" s="247" t="str">
        <f>"P"&amp;(RIGHT(N28,LEN(N28)-1))</f>
        <v>P(60, 3600)</v>
      </c>
      <c r="S28" s="176" t="str">
        <f>"P"&amp;(RIGHT(O28,LEN(O28)-1))</f>
        <v>P(60, 22500)</v>
      </c>
      <c r="T28" s="173" t="str">
        <f>"P"&amp;(RIGHT(P28,LEN(P28)-1))</f>
        <v>P(150, 3600)</v>
      </c>
      <c r="U28" s="313" t="str">
        <f>"P"&amp;(RIGHT(Q28,LEN(Q28)-1))</f>
        <v>P(150, 22500)</v>
      </c>
      <c r="V28" s="485" t="str">
        <f>"P("&amp;$O$6&amp;",:)"</f>
        <v>P(60,:)</v>
      </c>
      <c r="W28" s="480" t="str">
        <f>"P("&amp;$O$7&amp;",:)"</f>
        <v>P(150,:)</v>
      </c>
      <c r="X28" s="490" t="str">
        <f>"P(:,"&amp;$O$14&amp;")"</f>
        <v>P(:,3600)</v>
      </c>
      <c r="Y28" s="399" t="str">
        <f>"P(:,"&amp;$O$15&amp;")"</f>
        <v>P(:,22500)</v>
      </c>
      <c r="Z28" s="485" t="str">
        <f>"V"&amp;RIGHT(V28,LEN(V28)-1)</f>
        <v>V(60,:)</v>
      </c>
      <c r="AA28" s="480" t="str">
        <f>"V"&amp;RIGHT(W28,LEN(W28)-1)</f>
        <v>V(150,:)</v>
      </c>
      <c r="AB28" s="490" t="str">
        <f>"V"&amp;RIGHT(X28,LEN(X28)-1)</f>
        <v>V(:,3600)</v>
      </c>
      <c r="AC28" s="399" t="str">
        <f>"V"&amp;RIGHT(Y28,LEN(Y28)-1)</f>
        <v>V(:,22500)</v>
      </c>
      <c r="AD28" s="485" t="str">
        <f>Z28</f>
        <v>V(60,:)</v>
      </c>
      <c r="AE28" s="480" t="str">
        <f>AA28</f>
        <v>V(150,:)</v>
      </c>
      <c r="AF28" s="490" t="str">
        <f>AB28</f>
        <v>V(:,3600)</v>
      </c>
      <c r="AG28" s="399" t="str">
        <f>AC28</f>
        <v>V(:,22500)</v>
      </c>
      <c r="AH28" s="247" t="str">
        <f>R28</f>
        <v>P(60, 3600)</v>
      </c>
      <c r="AI28" s="176" t="str">
        <f>S28</f>
        <v>P(60, 22500)</v>
      </c>
      <c r="AJ28" s="173" t="str">
        <f>T28</f>
        <v>P(150, 3600)</v>
      </c>
      <c r="AK28" s="313" t="str">
        <f>U28</f>
        <v>P(150, 22500)</v>
      </c>
      <c r="AL28" s="504">
        <v>0</v>
      </c>
      <c r="AM28" s="203"/>
      <c r="AN28" s="140"/>
      <c r="AO28" s="7" t="s">
        <v>176</v>
      </c>
      <c r="AP28" s="7"/>
      <c r="AQ28" s="7"/>
      <c r="AR28" s="7"/>
      <c r="AS28" s="7"/>
      <c r="AT28" s="8"/>
      <c r="AU28" s="8"/>
      <c r="BA28" s="7"/>
      <c r="BB28" s="7"/>
      <c r="BC28" s="7"/>
      <c r="BD28" s="7"/>
      <c r="BE28" s="7"/>
    </row>
    <row r="29" spans="2:57" ht="15.75" thickTop="1" x14ac:dyDescent="0.25">
      <c r="C29" s="667">
        <f t="shared" ref="C29:E33" si="0">H29</f>
        <v>125.79527207670043</v>
      </c>
      <c r="D29" s="668">
        <f t="shared" si="0"/>
        <v>4422.6142969308912</v>
      </c>
      <c r="E29" s="668">
        <f t="shared" si="0"/>
        <v>66.502739018260684</v>
      </c>
      <c r="F29" s="669">
        <f>K29</f>
        <v>35.157237819194954</v>
      </c>
      <c r="H29" s="670">
        <f t="shared" ref="H29:H38" si="1">AE29</f>
        <v>125.79527207670043</v>
      </c>
      <c r="I29" s="670">
        <f>AG29-(H29^2)</f>
        <v>4422.6142969308912</v>
      </c>
      <c r="J29" s="670">
        <f t="shared" ref="J29:J38" si="2">SQRT(I29)</f>
        <v>66.502739018260684</v>
      </c>
      <c r="K29" s="670">
        <f>I29/H29</f>
        <v>35.157237819194954</v>
      </c>
      <c r="L29" s="671">
        <f t="shared" ref="L29:L38" si="3">SUMXMY2(C29,H29)+SUMXMY2(E29,J29)</f>
        <v>0</v>
      </c>
      <c r="M29" s="25">
        <v>1</v>
      </c>
      <c r="N29" s="314">
        <v>1</v>
      </c>
      <c r="O29" s="214">
        <v>3</v>
      </c>
      <c r="P29" s="213">
        <v>2</v>
      </c>
      <c r="Q29" s="315">
        <v>4</v>
      </c>
      <c r="R29" s="324">
        <f t="shared" ref="R29:U36" si="4">EXP(N29/$O$23)/(EXP($N29/$O$23)+EXP($O29/$O$23)+EXP($P29/$O$23)+EXP($Q29/$O$23))</f>
        <v>3.2058603280084988E-2</v>
      </c>
      <c r="S29" s="210">
        <f t="shared" si="4"/>
        <v>0.23688281808991013</v>
      </c>
      <c r="T29" s="209">
        <f t="shared" si="4"/>
        <v>8.7144318742032573E-2</v>
      </c>
      <c r="U29" s="325">
        <f t="shared" si="4"/>
        <v>0.64391425988797224</v>
      </c>
      <c r="V29" s="486">
        <f>SUM(R29:S29)</f>
        <v>0.2689414213699951</v>
      </c>
      <c r="W29" s="481">
        <f>SUM(T29,U29)</f>
        <v>0.73105857863000479</v>
      </c>
      <c r="X29" s="491">
        <f>SUM(T29,R29)</f>
        <v>0.11920292202211756</v>
      </c>
      <c r="Y29" s="472">
        <f>SUM(S29,U29)</f>
        <v>0.88079707797788243</v>
      </c>
      <c r="Z29" s="486">
        <f t="shared" ref="Z29:AA36" si="5">V29*$O$8</f>
        <v>24.204727923299558</v>
      </c>
      <c r="AA29" s="481">
        <f t="shared" si="5"/>
        <v>65.795272076700428</v>
      </c>
      <c r="AB29" s="491">
        <f t="shared" ref="AB29:AC36" si="6">X29*$O$16</f>
        <v>2252.9352262180219</v>
      </c>
      <c r="AC29" s="472">
        <f t="shared" si="6"/>
        <v>16647.064773781978</v>
      </c>
      <c r="AD29" s="486">
        <f t="shared" ref="AD29:AE36" si="7">Z29+$O$6</f>
        <v>84.204727923299558</v>
      </c>
      <c r="AE29" s="481">
        <f t="shared" si="7"/>
        <v>125.79527207670043</v>
      </c>
      <c r="AF29" s="491">
        <f t="shared" ref="AF29:AG36" si="8">AB29+$O$14</f>
        <v>5852.9352262180219</v>
      </c>
      <c r="AG29" s="472">
        <f t="shared" si="8"/>
        <v>20247.064773781978</v>
      </c>
      <c r="AH29" s="314">
        <f t="shared" ref="AH29:AH45" si="9">SUM(Z29,AB29)</f>
        <v>2277.1399541413216</v>
      </c>
      <c r="AI29" s="214">
        <f t="shared" ref="AI29:AI45" si="10">SUM(Z29,AC29)</f>
        <v>16671.269501705279</v>
      </c>
      <c r="AJ29" s="213">
        <f t="shared" ref="AJ29:AJ45" si="11">SUM(AA29,AB29)</f>
        <v>2318.7304982947221</v>
      </c>
      <c r="AK29" s="315">
        <f t="shared" ref="AK29:AK45" si="12">SUM(AA29,AC29)</f>
        <v>16712.860045858677</v>
      </c>
      <c r="AL29" s="81">
        <f>$O$23*LN(EXP($N29/$O$23) + EXP($O29/$O$23) + EXP($P29/$O$23) +EXP($Q29/$O$23) )</f>
        <v>4.4401896985611957</v>
      </c>
      <c r="AM29" s="204">
        <f t="shared" ref="AM29:AM44" si="13">(AL29-AL28)</f>
        <v>4.4401896985611957</v>
      </c>
      <c r="AN29" s="194"/>
      <c r="AO29" s="311" t="s">
        <v>208</v>
      </c>
      <c r="AP29" s="7"/>
      <c r="AQ29" s="7"/>
      <c r="AR29" s="7"/>
      <c r="AS29" s="7"/>
      <c r="AT29" s="8"/>
      <c r="AU29" s="8"/>
      <c r="BA29" s="7"/>
      <c r="BB29" s="7"/>
      <c r="BC29" s="187"/>
      <c r="BD29" s="7"/>
      <c r="BE29" s="7"/>
    </row>
    <row r="30" spans="2:57" ht="19.5" thickBot="1" x14ac:dyDescent="0.35">
      <c r="C30" s="667">
        <f>H30</f>
        <v>125.79527207670043</v>
      </c>
      <c r="D30" s="668">
        <f t="shared" si="0"/>
        <v>4422.6142969308912</v>
      </c>
      <c r="E30" s="668">
        <f>J30</f>
        <v>66.502739018260684</v>
      </c>
      <c r="F30" s="669">
        <f t="shared" ref="F30:F36" si="14">K30</f>
        <v>35.157237819194954</v>
      </c>
      <c r="H30" s="670">
        <f t="shared" si="1"/>
        <v>125.79527207670043</v>
      </c>
      <c r="I30" s="672">
        <f t="shared" ref="I30:I38" si="15">AG30-(H30^2)</f>
        <v>4422.6142969308912</v>
      </c>
      <c r="J30" s="672">
        <f t="shared" si="2"/>
        <v>66.502739018260684</v>
      </c>
      <c r="K30" s="672">
        <f t="shared" ref="K30:K38" si="16">I30/H30</f>
        <v>35.157237819194954</v>
      </c>
      <c r="L30" s="671">
        <f t="shared" si="3"/>
        <v>0</v>
      </c>
      <c r="M30" s="25">
        <v>2</v>
      </c>
      <c r="N30" s="316">
        <v>1</v>
      </c>
      <c r="O30" s="232">
        <v>3</v>
      </c>
      <c r="P30" s="231">
        <v>2</v>
      </c>
      <c r="Q30" s="317">
        <v>4</v>
      </c>
      <c r="R30" s="326">
        <f>EXP(N30/$O$23)/(EXP($N30/$O$23)+EXP($O30/$O$23)+EXP($P30/$O$23)+EXP($Q30/$O$23))</f>
        <v>3.2058603280084988E-2</v>
      </c>
      <c r="S30" s="228">
        <f t="shared" si="4"/>
        <v>0.23688281808991013</v>
      </c>
      <c r="T30" s="227">
        <f t="shared" si="4"/>
        <v>8.7144318742032573E-2</v>
      </c>
      <c r="U30" s="327">
        <f t="shared" si="4"/>
        <v>0.64391425988797224</v>
      </c>
      <c r="V30" s="487">
        <f t="shared" ref="V30:V44" si="17">SUM(R30:S30)</f>
        <v>0.2689414213699951</v>
      </c>
      <c r="W30" s="482">
        <f t="shared" ref="W30:W45" si="18">SUM(T30,U30)</f>
        <v>0.73105857863000479</v>
      </c>
      <c r="X30" s="492">
        <f t="shared" ref="X30:X45" si="19">SUM(T30,R30)</f>
        <v>0.11920292202211756</v>
      </c>
      <c r="Y30" s="473">
        <f t="shared" ref="Y30:Y45" si="20">SUM(S30,U30)</f>
        <v>0.88079707797788243</v>
      </c>
      <c r="Z30" s="487">
        <f t="shared" si="5"/>
        <v>24.204727923299558</v>
      </c>
      <c r="AA30" s="482">
        <f t="shared" si="5"/>
        <v>65.795272076700428</v>
      </c>
      <c r="AB30" s="492">
        <f t="shared" si="6"/>
        <v>2252.9352262180219</v>
      </c>
      <c r="AC30" s="473">
        <f t="shared" si="6"/>
        <v>16647.064773781978</v>
      </c>
      <c r="AD30" s="487">
        <f t="shared" si="7"/>
        <v>84.204727923299558</v>
      </c>
      <c r="AE30" s="482">
        <f t="shared" si="7"/>
        <v>125.79527207670043</v>
      </c>
      <c r="AF30" s="492">
        <f t="shared" si="8"/>
        <v>5852.9352262180219</v>
      </c>
      <c r="AG30" s="473">
        <f t="shared" si="8"/>
        <v>20247.064773781978</v>
      </c>
      <c r="AH30" s="316">
        <f t="shared" si="9"/>
        <v>2277.1399541413216</v>
      </c>
      <c r="AI30" s="232">
        <f t="shared" si="10"/>
        <v>16671.269501705279</v>
      </c>
      <c r="AJ30" s="231">
        <f t="shared" si="11"/>
        <v>2318.7304982947221</v>
      </c>
      <c r="AK30" s="317">
        <f t="shared" si="12"/>
        <v>16712.860045858677</v>
      </c>
      <c r="AL30" s="82">
        <f t="shared" ref="AL30:AL45" si="21">$O$23*LN(EXP($N30/$O$23) + EXP($O30/$O$23) + EXP($P30/$O$23) +EXP($Q30/$O$23) )</f>
        <v>4.4401896985611957</v>
      </c>
      <c r="AM30" s="206">
        <f t="shared" si="13"/>
        <v>0</v>
      </c>
      <c r="AN30" s="194"/>
      <c r="AO30" s="7" t="s">
        <v>224</v>
      </c>
      <c r="AP30" s="495">
        <f>AA45/AA29</f>
        <v>7.5993302287302361E-2</v>
      </c>
      <c r="AQ30" s="7"/>
      <c r="AR30" s="7"/>
      <c r="AS30" s="7"/>
      <c r="AT30" s="8"/>
      <c r="AU30" s="243"/>
      <c r="BA30" s="7"/>
      <c r="BB30" s="7"/>
      <c r="BC30" s="7"/>
      <c r="BD30" s="7"/>
      <c r="BE30" s="7"/>
    </row>
    <row r="31" spans="2:57" ht="19.5" thickBot="1" x14ac:dyDescent="0.35">
      <c r="B31" t="s">
        <v>4</v>
      </c>
      <c r="C31" s="673">
        <f>C30</f>
        <v>125.79527207670043</v>
      </c>
      <c r="D31" s="668">
        <f t="shared" si="0"/>
        <v>6399.9999993382789</v>
      </c>
      <c r="E31" s="674">
        <v>80</v>
      </c>
      <c r="F31" s="669">
        <f t="shared" si="14"/>
        <v>50.876280874210437</v>
      </c>
      <c r="H31" s="675">
        <f t="shared" si="1"/>
        <v>125.79535864978068</v>
      </c>
      <c r="I31" s="675">
        <f t="shared" si="15"/>
        <v>6399.9999993382789</v>
      </c>
      <c r="J31" s="675">
        <f t="shared" si="2"/>
        <v>79.999999995864243</v>
      </c>
      <c r="K31" s="670">
        <f t="shared" si="16"/>
        <v>50.876280874210437</v>
      </c>
      <c r="L31" s="671">
        <f t="shared" si="3"/>
        <v>7.4948982416073627E-9</v>
      </c>
      <c r="M31" s="25">
        <v>3</v>
      </c>
      <c r="N31" s="316">
        <v>1</v>
      </c>
      <c r="O31" s="232">
        <v>5.2135397545717401</v>
      </c>
      <c r="P31" s="231">
        <v>2</v>
      </c>
      <c r="Q31" s="317">
        <v>6.2135447194523996</v>
      </c>
      <c r="R31" s="326">
        <f t="shared" si="4"/>
        <v>3.9206784542248499E-3</v>
      </c>
      <c r="S31" s="228">
        <f t="shared" si="4"/>
        <v>0.26501978099265644</v>
      </c>
      <c r="T31" s="227">
        <f t="shared" si="4"/>
        <v>1.0657508997350308E-2</v>
      </c>
      <c r="U31" s="327">
        <f t="shared" si="4"/>
        <v>0.72040203155576843</v>
      </c>
      <c r="V31" s="487">
        <f t="shared" si="17"/>
        <v>0.26894045944688127</v>
      </c>
      <c r="W31" s="482">
        <f t="shared" si="18"/>
        <v>0.73105954055311873</v>
      </c>
      <c r="X31" s="492">
        <f t="shared" si="19"/>
        <v>1.4578187451575159E-2</v>
      </c>
      <c r="Y31" s="473">
        <f t="shared" si="20"/>
        <v>0.98542181254842487</v>
      </c>
      <c r="Z31" s="487">
        <f t="shared" si="5"/>
        <v>24.204641350219315</v>
      </c>
      <c r="AA31" s="482">
        <f t="shared" si="5"/>
        <v>65.795358649780681</v>
      </c>
      <c r="AB31" s="492">
        <f t="shared" si="6"/>
        <v>275.52774283477049</v>
      </c>
      <c r="AC31" s="473">
        <f t="shared" si="6"/>
        <v>18624.472257165231</v>
      </c>
      <c r="AD31" s="487">
        <f t="shared" si="7"/>
        <v>84.204641350219319</v>
      </c>
      <c r="AE31" s="482">
        <f t="shared" si="7"/>
        <v>125.79535864978068</v>
      </c>
      <c r="AF31" s="492">
        <f t="shared" si="8"/>
        <v>3875.5277428347704</v>
      </c>
      <c r="AG31" s="473">
        <f t="shared" si="8"/>
        <v>22224.472257165231</v>
      </c>
      <c r="AH31" s="316">
        <f t="shared" si="9"/>
        <v>299.73238418498983</v>
      </c>
      <c r="AI31" s="232">
        <f t="shared" si="10"/>
        <v>18648.676898515449</v>
      </c>
      <c r="AJ31" s="231">
        <f t="shared" si="11"/>
        <v>341.32310148455116</v>
      </c>
      <c r="AK31" s="317">
        <f t="shared" si="12"/>
        <v>18690.267615815013</v>
      </c>
      <c r="AL31" s="82">
        <f t="shared" si="21"/>
        <v>6.5414905650981661</v>
      </c>
      <c r="AM31" s="206">
        <f t="shared" si="13"/>
        <v>2.1013008665369703</v>
      </c>
      <c r="AN31" s="194"/>
      <c r="AP31" s="7" t="s">
        <v>173</v>
      </c>
      <c r="AQ31" s="7" t="s">
        <v>174</v>
      </c>
      <c r="AR31" t="s">
        <v>227</v>
      </c>
      <c r="AT31" s="8"/>
      <c r="AU31" s="243"/>
      <c r="BD31" s="7"/>
      <c r="BE31" s="7"/>
    </row>
    <row r="32" spans="2:57" ht="19.5" thickBot="1" x14ac:dyDescent="0.35">
      <c r="C32" s="667">
        <f>H32</f>
        <v>125.79535864978068</v>
      </c>
      <c r="D32" s="668">
        <f t="shared" si="0"/>
        <v>6399.9999993382789</v>
      </c>
      <c r="E32" s="668">
        <f>J32</f>
        <v>79.999999995864243</v>
      </c>
      <c r="F32" s="676">
        <f t="shared" si="14"/>
        <v>50.876280874210437</v>
      </c>
      <c r="H32" s="677">
        <f t="shared" si="1"/>
        <v>125.79535864978068</v>
      </c>
      <c r="I32" s="675">
        <f t="shared" si="15"/>
        <v>6399.9999993382789</v>
      </c>
      <c r="J32" s="675">
        <f t="shared" si="2"/>
        <v>79.999999995864243</v>
      </c>
      <c r="K32" s="672">
        <f t="shared" si="16"/>
        <v>50.876280874210437</v>
      </c>
      <c r="L32" s="671">
        <f t="shared" si="3"/>
        <v>0</v>
      </c>
      <c r="M32" s="25">
        <v>4</v>
      </c>
      <c r="N32" s="316">
        <v>1</v>
      </c>
      <c r="O32" s="232">
        <v>5.2135397545717401</v>
      </c>
      <c r="P32" s="231">
        <v>2</v>
      </c>
      <c r="Q32" s="317">
        <v>6.2135447194523996</v>
      </c>
      <c r="R32" s="326">
        <f t="shared" si="4"/>
        <v>3.9206784542248499E-3</v>
      </c>
      <c r="S32" s="228">
        <f t="shared" si="4"/>
        <v>0.26501978099265644</v>
      </c>
      <c r="T32" s="227">
        <f t="shared" si="4"/>
        <v>1.0657508997350308E-2</v>
      </c>
      <c r="U32" s="327">
        <f t="shared" si="4"/>
        <v>0.72040203155576843</v>
      </c>
      <c r="V32" s="487">
        <f t="shared" si="17"/>
        <v>0.26894045944688127</v>
      </c>
      <c r="W32" s="482">
        <f t="shared" si="18"/>
        <v>0.73105954055311873</v>
      </c>
      <c r="X32" s="492">
        <f t="shared" si="19"/>
        <v>1.4578187451575159E-2</v>
      </c>
      <c r="Y32" s="473">
        <f t="shared" si="20"/>
        <v>0.98542181254842487</v>
      </c>
      <c r="Z32" s="487">
        <f t="shared" si="5"/>
        <v>24.204641350219315</v>
      </c>
      <c r="AA32" s="482">
        <f t="shared" si="5"/>
        <v>65.795358649780681</v>
      </c>
      <c r="AB32" s="492">
        <f t="shared" si="6"/>
        <v>275.52774283477049</v>
      </c>
      <c r="AC32" s="473">
        <f t="shared" si="6"/>
        <v>18624.472257165231</v>
      </c>
      <c r="AD32" s="487">
        <f t="shared" si="7"/>
        <v>84.204641350219319</v>
      </c>
      <c r="AE32" s="482">
        <f t="shared" si="7"/>
        <v>125.79535864978068</v>
      </c>
      <c r="AF32" s="492">
        <f t="shared" si="8"/>
        <v>3875.5277428347704</v>
      </c>
      <c r="AG32" s="473">
        <f t="shared" si="8"/>
        <v>22224.472257165231</v>
      </c>
      <c r="AH32" s="316">
        <f t="shared" si="9"/>
        <v>299.73238418498983</v>
      </c>
      <c r="AI32" s="232">
        <f t="shared" si="10"/>
        <v>18648.676898515449</v>
      </c>
      <c r="AJ32" s="231">
        <f t="shared" si="11"/>
        <v>341.32310148455116</v>
      </c>
      <c r="AK32" s="317">
        <f t="shared" si="12"/>
        <v>18690.267615815013</v>
      </c>
      <c r="AL32" s="82">
        <f t="shared" si="21"/>
        <v>6.5414905650981661</v>
      </c>
      <c r="AM32" s="206">
        <f t="shared" si="13"/>
        <v>0</v>
      </c>
      <c r="AN32" s="194"/>
      <c r="AO32" s="7" t="s">
        <v>172</v>
      </c>
      <c r="AP32" s="902">
        <f>AM30</f>
        <v>0</v>
      </c>
      <c r="AQ32" s="903">
        <f>SUM(T45:U45)</f>
        <v>5.5555555555555552E-2</v>
      </c>
      <c r="AR32" s="904" t="e">
        <f>AQ32/AP32</f>
        <v>#DIV/0!</v>
      </c>
      <c r="AS32" s="7" t="s">
        <v>228</v>
      </c>
      <c r="AT32" s="8"/>
      <c r="AU32" s="243"/>
      <c r="BD32" s="7"/>
      <c r="BE32" s="7"/>
    </row>
    <row r="33" spans="2:57" ht="19.5" thickBot="1" x14ac:dyDescent="0.35">
      <c r="B33" t="s">
        <v>5</v>
      </c>
      <c r="C33" s="674">
        <v>95</v>
      </c>
      <c r="D33" s="668">
        <f t="shared" si="0"/>
        <v>6400.0000689367062</v>
      </c>
      <c r="E33" s="678">
        <f>E32</f>
        <v>79.999999995864243</v>
      </c>
      <c r="F33" s="676">
        <f>K33</f>
        <v>67.368417673462559</v>
      </c>
      <c r="H33" s="675">
        <f t="shared" si="1"/>
        <v>95.000005788435828</v>
      </c>
      <c r="I33" s="675">
        <f t="shared" si="15"/>
        <v>6400.0000689367062</v>
      </c>
      <c r="J33" s="675">
        <f t="shared" si="2"/>
        <v>80.000000430854413</v>
      </c>
      <c r="K33" s="670">
        <f t="shared" si="16"/>
        <v>67.368417673462559</v>
      </c>
      <c r="L33" s="671">
        <f t="shared" si="3"/>
        <v>3.3695205788004397E-11</v>
      </c>
      <c r="M33" s="25">
        <v>5</v>
      </c>
      <c r="N33" s="316">
        <v>1.602466119546041</v>
      </c>
      <c r="O33" s="232">
        <v>10.074612914379193</v>
      </c>
      <c r="P33" s="231">
        <v>9.5843625217032447</v>
      </c>
      <c r="Q33" s="317">
        <v>6.3459080268348087</v>
      </c>
      <c r="R33" s="326">
        <f t="shared" si="4"/>
        <v>1.2782702456293928E-4</v>
      </c>
      <c r="S33" s="228">
        <f t="shared" si="4"/>
        <v>0.61098321977059433</v>
      </c>
      <c r="T33" s="227">
        <f t="shared" si="4"/>
        <v>0.37421073547599004</v>
      </c>
      <c r="U33" s="327">
        <f t="shared" si="4"/>
        <v>1.4678217728852586E-2</v>
      </c>
      <c r="V33" s="487">
        <f t="shared" si="17"/>
        <v>0.61111104679515726</v>
      </c>
      <c r="W33" s="482">
        <f t="shared" si="18"/>
        <v>0.38888895320484262</v>
      </c>
      <c r="X33" s="492">
        <f t="shared" si="19"/>
        <v>0.37433856250055297</v>
      </c>
      <c r="Y33" s="473">
        <f t="shared" si="20"/>
        <v>0.62566143749944692</v>
      </c>
      <c r="Z33" s="487">
        <f t="shared" si="5"/>
        <v>54.999994211564157</v>
      </c>
      <c r="AA33" s="482">
        <f t="shared" si="5"/>
        <v>35.000005788435836</v>
      </c>
      <c r="AB33" s="492">
        <f t="shared" si="6"/>
        <v>7074.998831260451</v>
      </c>
      <c r="AC33" s="473">
        <f t="shared" si="6"/>
        <v>11825.001168739547</v>
      </c>
      <c r="AD33" s="487">
        <f t="shared" si="7"/>
        <v>114.99999421156416</v>
      </c>
      <c r="AE33" s="482">
        <f t="shared" si="7"/>
        <v>95.000005788435828</v>
      </c>
      <c r="AF33" s="492">
        <f t="shared" si="8"/>
        <v>10674.998831260451</v>
      </c>
      <c r="AG33" s="473">
        <f t="shared" si="8"/>
        <v>15425.001168739547</v>
      </c>
      <c r="AH33" s="316">
        <f t="shared" si="9"/>
        <v>7129.9988254720147</v>
      </c>
      <c r="AI33" s="232">
        <f t="shared" si="10"/>
        <v>11880.001162951112</v>
      </c>
      <c r="AJ33" s="231">
        <f t="shared" si="11"/>
        <v>7109.9988370488873</v>
      </c>
      <c r="AK33" s="317">
        <f t="shared" si="12"/>
        <v>11860.001174527983</v>
      </c>
      <c r="AL33" s="82">
        <f t="shared" si="21"/>
        <v>10.567298698117447</v>
      </c>
      <c r="AM33" s="206">
        <f t="shared" si="13"/>
        <v>4.0258081330192814</v>
      </c>
      <c r="AN33" s="194"/>
      <c r="AO33" s="8" t="s">
        <v>175</v>
      </c>
      <c r="AP33" s="905">
        <f>SUM(T29:U29)</f>
        <v>0.73105857863000479</v>
      </c>
      <c r="AQ33" s="906">
        <f>SUM(T45:U45)</f>
        <v>5.5555555555555552E-2</v>
      </c>
      <c r="AR33" s="907">
        <f>AQ33/AP33</f>
        <v>7.5993302287302361E-2</v>
      </c>
      <c r="AS33" s="7" t="s">
        <v>226</v>
      </c>
      <c r="AT33" s="8"/>
      <c r="AU33" s="243"/>
      <c r="BD33" s="7"/>
      <c r="BE33" s="7"/>
    </row>
    <row r="34" spans="2:57" ht="18.75" x14ac:dyDescent="0.3">
      <c r="C34" s="667">
        <f>H34</f>
        <v>95.000005788435828</v>
      </c>
      <c r="D34" s="679">
        <f>I34</f>
        <v>6400.0000689367062</v>
      </c>
      <c r="E34" s="679">
        <f>J34</f>
        <v>80.000000430854413</v>
      </c>
      <c r="F34" s="680">
        <f t="shared" si="14"/>
        <v>67.368417673462559</v>
      </c>
      <c r="G34" s="245"/>
      <c r="H34" s="672">
        <f t="shared" si="1"/>
        <v>95.000005788435828</v>
      </c>
      <c r="I34" s="672">
        <f t="shared" si="15"/>
        <v>6400.0000689367062</v>
      </c>
      <c r="J34" s="672">
        <f t="shared" si="2"/>
        <v>80.000000430854413</v>
      </c>
      <c r="K34" s="672">
        <f t="shared" si="16"/>
        <v>67.368417673462559</v>
      </c>
      <c r="L34" s="681">
        <f t="shared" si="3"/>
        <v>0</v>
      </c>
      <c r="M34" s="682">
        <v>6</v>
      </c>
      <c r="N34" s="314">
        <v>1.602466119546041</v>
      </c>
      <c r="O34" s="214">
        <v>10.074612914379193</v>
      </c>
      <c r="P34" s="213">
        <v>9.5843625217032447</v>
      </c>
      <c r="Q34" s="315">
        <v>6.3459080268348087</v>
      </c>
      <c r="R34" s="326">
        <f t="shared" si="4"/>
        <v>1.2782702456293928E-4</v>
      </c>
      <c r="S34" s="228">
        <f t="shared" si="4"/>
        <v>0.61098321977059433</v>
      </c>
      <c r="T34" s="227">
        <f t="shared" si="4"/>
        <v>0.37421073547599004</v>
      </c>
      <c r="U34" s="327">
        <f t="shared" si="4"/>
        <v>1.4678217728852586E-2</v>
      </c>
      <c r="V34" s="487">
        <f t="shared" si="17"/>
        <v>0.61111104679515726</v>
      </c>
      <c r="W34" s="482">
        <f t="shared" si="18"/>
        <v>0.38888895320484262</v>
      </c>
      <c r="X34" s="492">
        <f t="shared" si="19"/>
        <v>0.37433856250055297</v>
      </c>
      <c r="Y34" s="473">
        <f t="shared" si="20"/>
        <v>0.62566143749944692</v>
      </c>
      <c r="Z34" s="487">
        <f t="shared" si="5"/>
        <v>54.999994211564157</v>
      </c>
      <c r="AA34" s="482">
        <f t="shared" si="5"/>
        <v>35.000005788435836</v>
      </c>
      <c r="AB34" s="492">
        <f t="shared" si="6"/>
        <v>7074.998831260451</v>
      </c>
      <c r="AC34" s="473">
        <f t="shared" si="6"/>
        <v>11825.001168739547</v>
      </c>
      <c r="AD34" s="487">
        <f t="shared" si="7"/>
        <v>114.99999421156416</v>
      </c>
      <c r="AE34" s="482">
        <f t="shared" si="7"/>
        <v>95.000005788435828</v>
      </c>
      <c r="AF34" s="492">
        <f t="shared" si="8"/>
        <v>10674.998831260451</v>
      </c>
      <c r="AG34" s="473">
        <f t="shared" si="8"/>
        <v>15425.001168739547</v>
      </c>
      <c r="AH34" s="316">
        <f t="shared" si="9"/>
        <v>7129.9988254720147</v>
      </c>
      <c r="AI34" s="232">
        <f t="shared" si="10"/>
        <v>11880.001162951112</v>
      </c>
      <c r="AJ34" s="231">
        <f t="shared" si="11"/>
        <v>7109.9988370488873</v>
      </c>
      <c r="AK34" s="317">
        <f t="shared" si="12"/>
        <v>11860.001174527983</v>
      </c>
      <c r="AL34" s="82">
        <f t="shared" si="21"/>
        <v>10.567298698117447</v>
      </c>
      <c r="AM34" s="206">
        <f t="shared" si="13"/>
        <v>0</v>
      </c>
      <c r="AN34" s="194"/>
      <c r="AO34" s="8"/>
      <c r="AP34" s="8"/>
      <c r="AQ34" s="478"/>
      <c r="AR34" s="8"/>
      <c r="AS34" s="8"/>
      <c r="AT34" s="8"/>
      <c r="AU34" s="243"/>
      <c r="AV34" s="8"/>
      <c r="AW34" s="160"/>
      <c r="AX34" s="160"/>
      <c r="AY34" s="900"/>
      <c r="AZ34" s="7"/>
      <c r="BD34" s="7"/>
      <c r="BE34" s="7"/>
    </row>
    <row r="35" spans="2:57" ht="19.5" thickBot="1" x14ac:dyDescent="0.35">
      <c r="B35" s="1"/>
      <c r="C35" s="683">
        <v>95.000005788435828</v>
      </c>
      <c r="D35" s="684">
        <v>6400.0000689367062</v>
      </c>
      <c r="E35" s="684">
        <v>80.000000430854413</v>
      </c>
      <c r="F35" s="685">
        <v>67.368417673462559</v>
      </c>
      <c r="G35" s="7"/>
      <c r="H35" s="670">
        <f t="shared" si="1"/>
        <v>95.000005788435828</v>
      </c>
      <c r="I35" s="672">
        <f t="shared" si="15"/>
        <v>6400.0000689367062</v>
      </c>
      <c r="J35" s="672">
        <f t="shared" si="2"/>
        <v>80.000000430854413</v>
      </c>
      <c r="K35" s="672">
        <f t="shared" si="16"/>
        <v>67.368417673462559</v>
      </c>
      <c r="L35" s="686">
        <f t="shared" si="3"/>
        <v>0</v>
      </c>
      <c r="M35" s="21">
        <v>7</v>
      </c>
      <c r="N35" s="316">
        <v>1.602466119546041</v>
      </c>
      <c r="O35" s="232">
        <v>10.074612914379193</v>
      </c>
      <c r="P35" s="231">
        <v>9.5843625217032447</v>
      </c>
      <c r="Q35" s="317">
        <v>6.3459080268348087</v>
      </c>
      <c r="R35" s="326">
        <f t="shared" si="4"/>
        <v>1.2782702456293928E-4</v>
      </c>
      <c r="S35" s="228">
        <f t="shared" si="4"/>
        <v>0.61098321977059433</v>
      </c>
      <c r="T35" s="227">
        <f t="shared" si="4"/>
        <v>0.37421073547599004</v>
      </c>
      <c r="U35" s="327">
        <f t="shared" si="4"/>
        <v>1.4678217728852586E-2</v>
      </c>
      <c r="V35" s="487">
        <f t="shared" si="17"/>
        <v>0.61111104679515726</v>
      </c>
      <c r="W35" s="482">
        <f>SUM(T35,U35)</f>
        <v>0.38888895320484262</v>
      </c>
      <c r="X35" s="492">
        <f>SUM(T35,R35)</f>
        <v>0.37433856250055297</v>
      </c>
      <c r="Y35" s="473">
        <f>SUM(S35,U35)</f>
        <v>0.62566143749944692</v>
      </c>
      <c r="Z35" s="487">
        <f t="shared" si="5"/>
        <v>54.999994211564157</v>
      </c>
      <c r="AA35" s="482">
        <f t="shared" si="5"/>
        <v>35.000005788435836</v>
      </c>
      <c r="AB35" s="492">
        <f t="shared" si="6"/>
        <v>7074.998831260451</v>
      </c>
      <c r="AC35" s="473">
        <f t="shared" si="6"/>
        <v>11825.001168739547</v>
      </c>
      <c r="AD35" s="487">
        <f t="shared" si="7"/>
        <v>114.99999421156416</v>
      </c>
      <c r="AE35" s="482">
        <f t="shared" si="7"/>
        <v>95.000005788435828</v>
      </c>
      <c r="AF35" s="492">
        <f t="shared" si="8"/>
        <v>10674.998831260451</v>
      </c>
      <c r="AG35" s="473">
        <f t="shared" si="8"/>
        <v>15425.001168739547</v>
      </c>
      <c r="AH35" s="316">
        <f t="shared" si="9"/>
        <v>7129.9988254720147</v>
      </c>
      <c r="AI35" s="232">
        <f t="shared" si="10"/>
        <v>11880.001162951112</v>
      </c>
      <c r="AJ35" s="231">
        <f t="shared" si="11"/>
        <v>7109.9988370488873</v>
      </c>
      <c r="AK35" s="317">
        <f t="shared" si="12"/>
        <v>11860.001174527983</v>
      </c>
      <c r="AL35" s="82">
        <f t="shared" si="21"/>
        <v>10.567298698117447</v>
      </c>
      <c r="AM35" s="206">
        <f t="shared" si="13"/>
        <v>0</v>
      </c>
      <c r="AN35" s="194"/>
      <c r="AO35" s="28"/>
      <c r="AP35" s="8"/>
      <c r="AQ35" s="478"/>
      <c r="AR35" s="8"/>
      <c r="AS35" s="8"/>
      <c r="AT35" s="8"/>
      <c r="AU35" s="243"/>
      <c r="AV35" s="8"/>
      <c r="AW35" s="160"/>
      <c r="AX35" s="160"/>
      <c r="AY35" s="901"/>
      <c r="AZ35" s="7"/>
      <c r="BD35" s="7"/>
      <c r="BE35" s="7"/>
    </row>
    <row r="36" spans="2:57" ht="19.5" thickBot="1" x14ac:dyDescent="0.35">
      <c r="B36" s="2" t="s">
        <v>46</v>
      </c>
      <c r="C36" s="687">
        <f>C35</f>
        <v>95.000005788435828</v>
      </c>
      <c r="D36" s="679">
        <f>I36</f>
        <v>2025.0000115695439</v>
      </c>
      <c r="E36" s="674">
        <v>45</v>
      </c>
      <c r="F36" s="680">
        <f t="shared" si="14"/>
        <v>21.315788321212061</v>
      </c>
      <c r="G36" s="245"/>
      <c r="H36" s="672">
        <f t="shared" si="1"/>
        <v>95.000005679095523</v>
      </c>
      <c r="I36" s="688">
        <f t="shared" si="15"/>
        <v>2025.0000115695439</v>
      </c>
      <c r="J36" s="688">
        <f t="shared" si="2"/>
        <v>45.000000128550489</v>
      </c>
      <c r="K36" s="688">
        <f t="shared" si="16"/>
        <v>21.315788321212061</v>
      </c>
      <c r="L36" s="681">
        <f t="shared" si="3"/>
        <v>2.8480530766062637E-14</v>
      </c>
      <c r="M36" s="682">
        <v>8</v>
      </c>
      <c r="N36" s="314">
        <v>9.5428705978737263</v>
      </c>
      <c r="O36" s="214">
        <v>10.074612914379193</v>
      </c>
      <c r="P36" s="213">
        <v>10.060772301858709</v>
      </c>
      <c r="Q36" s="315">
        <v>6.3459080268348078</v>
      </c>
      <c r="R36" s="326">
        <f t="shared" si="4"/>
        <v>0.22617868405722424</v>
      </c>
      <c r="S36" s="228">
        <f t="shared" si="4"/>
        <v>0.38493236395282543</v>
      </c>
      <c r="T36" s="227">
        <f t="shared" si="4"/>
        <v>0.37964136405929827</v>
      </c>
      <c r="U36" s="327">
        <f t="shared" si="4"/>
        <v>9.2475879306520761E-3</v>
      </c>
      <c r="V36" s="487">
        <f t="shared" si="17"/>
        <v>0.61111104801004967</v>
      </c>
      <c r="W36" s="482">
        <f t="shared" si="18"/>
        <v>0.38888895198995033</v>
      </c>
      <c r="X36" s="492">
        <f t="shared" si="19"/>
        <v>0.60582004811652257</v>
      </c>
      <c r="Y36" s="473">
        <f t="shared" si="20"/>
        <v>0.39417995188347749</v>
      </c>
      <c r="Z36" s="487">
        <f t="shared" si="5"/>
        <v>54.99999432090447</v>
      </c>
      <c r="AA36" s="482">
        <f t="shared" si="5"/>
        <v>35.00000567909553</v>
      </c>
      <c r="AB36" s="492">
        <f t="shared" si="6"/>
        <v>11449.998909402277</v>
      </c>
      <c r="AC36" s="473">
        <f t="shared" si="6"/>
        <v>7450.0010905977242</v>
      </c>
      <c r="AD36" s="487">
        <f t="shared" si="7"/>
        <v>114.99999432090448</v>
      </c>
      <c r="AE36" s="482">
        <f t="shared" si="7"/>
        <v>95.000005679095523</v>
      </c>
      <c r="AF36" s="492">
        <f t="shared" si="8"/>
        <v>15049.998909402277</v>
      </c>
      <c r="AG36" s="473">
        <f t="shared" si="8"/>
        <v>11050.001090597725</v>
      </c>
      <c r="AH36" s="316">
        <f t="shared" si="9"/>
        <v>11504.998903723181</v>
      </c>
      <c r="AI36" s="232">
        <f t="shared" si="10"/>
        <v>7505.0010849186283</v>
      </c>
      <c r="AJ36" s="231">
        <f t="shared" si="11"/>
        <v>11484.998915081373</v>
      </c>
      <c r="AK36" s="317">
        <f t="shared" si="12"/>
        <v>7485.0010962768201</v>
      </c>
      <c r="AL36" s="82">
        <f t="shared" si="21"/>
        <v>11.02930055255135</v>
      </c>
      <c r="AM36" s="206">
        <f t="shared" si="13"/>
        <v>0.46200185443390218</v>
      </c>
      <c r="AN36" s="194"/>
      <c r="AO36" s="8"/>
      <c r="AP36" s="8"/>
      <c r="AQ36" s="478"/>
      <c r="AR36" s="8"/>
      <c r="AS36" s="8"/>
      <c r="AT36" s="8"/>
      <c r="AU36" s="243"/>
      <c r="AV36" s="7"/>
      <c r="AW36" s="7"/>
      <c r="AX36" s="7"/>
      <c r="AY36" s="7"/>
      <c r="AZ36" s="7"/>
      <c r="BA36" s="7"/>
      <c r="BB36" s="7"/>
      <c r="BC36" s="7"/>
      <c r="BD36" s="7"/>
      <c r="BE36" s="7"/>
    </row>
    <row r="37" spans="2:57" ht="19.5" thickBot="1" x14ac:dyDescent="0.35">
      <c r="B37" s="1"/>
      <c r="C37" s="683">
        <v>95.000005788435828</v>
      </c>
      <c r="D37" s="689">
        <v>6400.0000689367062</v>
      </c>
      <c r="E37" s="689">
        <v>80.000000430854399</v>
      </c>
      <c r="F37" s="690">
        <v>67.368417673462559</v>
      </c>
      <c r="G37" s="150"/>
      <c r="H37" s="691">
        <f t="shared" si="1"/>
        <v>95.000109710121762</v>
      </c>
      <c r="I37" s="688">
        <f>AG37-(H37^2)</f>
        <v>6399.9728719631494</v>
      </c>
      <c r="J37" s="688">
        <f t="shared" si="2"/>
        <v>79.999830449590007</v>
      </c>
      <c r="K37" s="688">
        <f t="shared" si="16"/>
        <v>67.368057694793023</v>
      </c>
      <c r="L37" s="692">
        <f t="shared" si="3"/>
        <v>3.9693347051681264E-8</v>
      </c>
      <c r="M37" s="693">
        <v>9</v>
      </c>
      <c r="N37" s="694">
        <v>1.6024661195256082</v>
      </c>
      <c r="O37" s="695">
        <v>10.074558733786047</v>
      </c>
      <c r="P37" s="696">
        <v>9.5843112776950612</v>
      </c>
      <c r="Q37" s="697">
        <v>6.3459080061985285</v>
      </c>
      <c r="R37" s="326">
        <f t="shared" ref="R37:U43" si="22">EXP(N37/$O$23)/(EXP($N37/$O$23)+EXP($O37/$O$23)+EXP($P37/$O$23)+EXP($Q37/$O$23))</f>
        <v>1.2783370750279655E-4</v>
      </c>
      <c r="S37" s="228">
        <f t="shared" si="22"/>
        <v>0.61098205840225561</v>
      </c>
      <c r="T37" s="227">
        <f t="shared" si="22"/>
        <v>0.37421112307036403</v>
      </c>
      <c r="U37" s="327">
        <f t="shared" si="22"/>
        <v>1.4678984819877752E-2</v>
      </c>
      <c r="V37" s="487">
        <f t="shared" si="17"/>
        <v>0.61110989210975841</v>
      </c>
      <c r="W37" s="482">
        <f t="shared" si="18"/>
        <v>0.38889010789024175</v>
      </c>
      <c r="X37" s="492">
        <f t="shared" si="19"/>
        <v>0.37433895677786683</v>
      </c>
      <c r="Y37" s="473">
        <f t="shared" si="20"/>
        <v>0.62566104322213334</v>
      </c>
      <c r="Z37" s="487">
        <f t="shared" ref="Z37:AA43" si="23">V37*$O$8</f>
        <v>54.999890289878259</v>
      </c>
      <c r="AA37" s="482">
        <f t="shared" si="23"/>
        <v>35.000109710121755</v>
      </c>
      <c r="AB37" s="492">
        <f t="shared" ref="AB37:AC43" si="24">X37*$O$16</f>
        <v>7075.006283101683</v>
      </c>
      <c r="AC37" s="473">
        <f t="shared" si="24"/>
        <v>11824.99371689832</v>
      </c>
      <c r="AD37" s="487">
        <f t="shared" ref="AD37:AE43" si="25">Z37+$O$6</f>
        <v>114.99989028987827</v>
      </c>
      <c r="AE37" s="482">
        <f t="shared" si="25"/>
        <v>95.000109710121762</v>
      </c>
      <c r="AF37" s="492">
        <f t="shared" ref="AF37:AG43" si="26">AB37+$O$14</f>
        <v>10675.006283101684</v>
      </c>
      <c r="AG37" s="473">
        <f t="shared" si="26"/>
        <v>15424.99371689832</v>
      </c>
      <c r="AH37" s="316">
        <f t="shared" si="9"/>
        <v>7130.0061733915609</v>
      </c>
      <c r="AI37" s="232">
        <f t="shared" si="10"/>
        <v>11879.993607188198</v>
      </c>
      <c r="AJ37" s="231">
        <f t="shared" si="11"/>
        <v>7110.0063928118052</v>
      </c>
      <c r="AK37" s="317">
        <f t="shared" si="12"/>
        <v>11859.993826608441</v>
      </c>
      <c r="AL37" s="82">
        <f t="shared" si="21"/>
        <v>10.567246418344823</v>
      </c>
      <c r="AM37" s="206">
        <f t="shared" si="13"/>
        <v>-0.46205413420652697</v>
      </c>
      <c r="AN37" s="194"/>
      <c r="AO37" s="8"/>
      <c r="AP37" s="8"/>
      <c r="AQ37" s="478"/>
      <c r="AR37" s="8"/>
      <c r="AS37" s="8"/>
      <c r="AT37" s="8"/>
      <c r="AU37" s="243"/>
      <c r="AV37" s="7"/>
      <c r="AW37" s="7"/>
      <c r="AX37" s="7"/>
      <c r="AY37" s="7"/>
      <c r="AZ37" s="7"/>
      <c r="BA37" s="7"/>
      <c r="BB37" s="7"/>
      <c r="BC37" s="7"/>
      <c r="BD37" s="7"/>
      <c r="BE37" s="7"/>
    </row>
    <row r="38" spans="2:57" ht="18.75" x14ac:dyDescent="0.3">
      <c r="B38" s="2" t="s">
        <v>47</v>
      </c>
      <c r="C38" s="687">
        <f>C37</f>
        <v>95.000005788435828</v>
      </c>
      <c r="D38" s="698">
        <f>I38</f>
        <v>13474.99305853982</v>
      </c>
      <c r="E38" s="699">
        <v>116.08</v>
      </c>
      <c r="F38" s="680">
        <f>K38</f>
        <v>141.84197958124261</v>
      </c>
      <c r="G38" s="245"/>
      <c r="H38" s="672">
        <f t="shared" si="1"/>
        <v>95.000035238663372</v>
      </c>
      <c r="I38" s="688">
        <f t="shared" si="15"/>
        <v>13474.99305853982</v>
      </c>
      <c r="J38" s="688">
        <f t="shared" si="2"/>
        <v>116.08183776344954</v>
      </c>
      <c r="K38" s="688">
        <f t="shared" si="16"/>
        <v>141.84197958124261</v>
      </c>
      <c r="L38" s="681">
        <f t="shared" si="3"/>
        <v>3.3782418123810362E-6</v>
      </c>
      <c r="M38" s="700">
        <v>10</v>
      </c>
      <c r="N38" s="314">
        <v>2.836189409496785</v>
      </c>
      <c r="O38" s="214">
        <v>27.249643942475785</v>
      </c>
      <c r="P38" s="213">
        <v>9.5843112776950612</v>
      </c>
      <c r="Q38" s="315">
        <v>26.797660432833837</v>
      </c>
      <c r="R38" s="326">
        <f t="shared" si="22"/>
        <v>1.525777878281281E-11</v>
      </c>
      <c r="S38" s="228">
        <f t="shared" si="22"/>
        <v>0.61111071955514928</v>
      </c>
      <c r="T38" s="227">
        <f t="shared" si="22"/>
        <v>1.3006588624467185E-8</v>
      </c>
      <c r="U38" s="327">
        <f t="shared" si="22"/>
        <v>0.38888926742300434</v>
      </c>
      <c r="V38" s="487">
        <f t="shared" si="17"/>
        <v>0.61111071957040708</v>
      </c>
      <c r="W38" s="482">
        <f t="shared" si="18"/>
        <v>0.38888928042959298</v>
      </c>
      <c r="X38" s="492">
        <f t="shared" si="19"/>
        <v>1.3021846403249997E-8</v>
      </c>
      <c r="Y38" s="473">
        <f t="shared" si="20"/>
        <v>0.99999998697815362</v>
      </c>
      <c r="Z38" s="487">
        <f t="shared" si="23"/>
        <v>54.999964761336635</v>
      </c>
      <c r="AA38" s="482">
        <f t="shared" si="23"/>
        <v>35.000035238663365</v>
      </c>
      <c r="AB38" s="492">
        <f t="shared" si="24"/>
        <v>2.4611289702142496E-4</v>
      </c>
      <c r="AC38" s="473">
        <f t="shared" si="24"/>
        <v>18899.999753887103</v>
      </c>
      <c r="AD38" s="487">
        <f t="shared" si="25"/>
        <v>114.99996476133663</v>
      </c>
      <c r="AE38" s="482">
        <f t="shared" si="25"/>
        <v>95.000035238663372</v>
      </c>
      <c r="AF38" s="492">
        <f t="shared" si="26"/>
        <v>3600.000246112897</v>
      </c>
      <c r="AG38" s="473">
        <f t="shared" si="26"/>
        <v>22499.999753887103</v>
      </c>
      <c r="AH38" s="316">
        <f t="shared" si="9"/>
        <v>55.000210874233659</v>
      </c>
      <c r="AI38" s="232">
        <f t="shared" si="10"/>
        <v>18954.99971864844</v>
      </c>
      <c r="AJ38" s="231">
        <f t="shared" si="11"/>
        <v>35.000281351560389</v>
      </c>
      <c r="AK38" s="317">
        <f t="shared" si="12"/>
        <v>18934.999789125766</v>
      </c>
      <c r="AL38" s="82">
        <f t="shared" si="21"/>
        <v>27.742121068301721</v>
      </c>
      <c r="AM38" s="206">
        <f t="shared" si="13"/>
        <v>17.174874649956898</v>
      </c>
      <c r="AN38" s="194"/>
      <c r="AO38" s="8"/>
      <c r="AP38" s="8"/>
      <c r="AQ38" s="478"/>
      <c r="AR38" s="8"/>
      <c r="AS38" s="8"/>
      <c r="AT38" s="8"/>
      <c r="AU38" s="243"/>
      <c r="AV38" s="7"/>
      <c r="AW38" s="7"/>
      <c r="AX38" s="7"/>
      <c r="AY38" s="7"/>
      <c r="AZ38" s="7"/>
      <c r="BA38" s="7"/>
      <c r="BB38" s="7"/>
      <c r="BC38" s="7"/>
      <c r="BD38" s="7"/>
      <c r="BE38" s="7"/>
    </row>
    <row r="39" spans="2:57" ht="18.75" x14ac:dyDescent="0.3">
      <c r="B39" s="5"/>
      <c r="C39" s="377"/>
      <c r="D39" s="377"/>
      <c r="E39" s="377"/>
      <c r="F39" s="377"/>
      <c r="G39" s="8"/>
      <c r="H39" s="377"/>
      <c r="I39" s="377"/>
      <c r="J39" s="377"/>
      <c r="K39" s="377"/>
      <c r="L39" s="686"/>
      <c r="M39" s="21">
        <v>11</v>
      </c>
      <c r="N39" s="316">
        <v>5</v>
      </c>
      <c r="O39" s="232">
        <v>5</v>
      </c>
      <c r="P39" s="231">
        <v>5</v>
      </c>
      <c r="Q39" s="317">
        <v>5</v>
      </c>
      <c r="R39" s="326">
        <f t="shared" si="22"/>
        <v>0.25</v>
      </c>
      <c r="S39" s="228">
        <f t="shared" si="22"/>
        <v>0.25</v>
      </c>
      <c r="T39" s="227">
        <f t="shared" si="22"/>
        <v>0.25</v>
      </c>
      <c r="U39" s="327">
        <f t="shared" si="22"/>
        <v>0.25</v>
      </c>
      <c r="V39" s="487">
        <f t="shared" si="17"/>
        <v>0.5</v>
      </c>
      <c r="W39" s="482">
        <f t="shared" si="18"/>
        <v>0.5</v>
      </c>
      <c r="X39" s="492">
        <f t="shared" si="19"/>
        <v>0.5</v>
      </c>
      <c r="Y39" s="473">
        <f t="shared" si="20"/>
        <v>0.5</v>
      </c>
      <c r="Z39" s="487">
        <f t="shared" si="23"/>
        <v>45</v>
      </c>
      <c r="AA39" s="482">
        <f t="shared" si="23"/>
        <v>45</v>
      </c>
      <c r="AB39" s="492">
        <f t="shared" si="24"/>
        <v>9450</v>
      </c>
      <c r="AC39" s="473">
        <f t="shared" si="24"/>
        <v>9450</v>
      </c>
      <c r="AD39" s="487">
        <f t="shared" si="25"/>
        <v>105</v>
      </c>
      <c r="AE39" s="482">
        <f t="shared" si="25"/>
        <v>105</v>
      </c>
      <c r="AF39" s="492">
        <f t="shared" si="26"/>
        <v>13050</v>
      </c>
      <c r="AG39" s="473">
        <f t="shared" si="26"/>
        <v>13050</v>
      </c>
      <c r="AH39" s="316">
        <f t="shared" si="9"/>
        <v>9495</v>
      </c>
      <c r="AI39" s="232">
        <f t="shared" si="10"/>
        <v>9495</v>
      </c>
      <c r="AJ39" s="231">
        <f t="shared" si="11"/>
        <v>9495</v>
      </c>
      <c r="AK39" s="317">
        <f t="shared" si="12"/>
        <v>9495</v>
      </c>
      <c r="AL39" s="82">
        <f t="shared" si="21"/>
        <v>6.3862943611198908</v>
      </c>
      <c r="AM39" s="206">
        <f t="shared" si="13"/>
        <v>-21.35582670718183</v>
      </c>
      <c r="AN39" s="194"/>
      <c r="AO39" s="8"/>
      <c r="AP39" s="8"/>
      <c r="AQ39" s="478"/>
      <c r="AR39" s="8"/>
      <c r="AS39" s="8"/>
      <c r="AT39" s="8"/>
      <c r="AU39" s="243"/>
      <c r="AV39" s="7"/>
      <c r="AW39" s="7"/>
      <c r="AX39" s="7"/>
      <c r="AY39" s="7"/>
      <c r="AZ39" s="7"/>
      <c r="BA39" s="7"/>
      <c r="BB39" s="7"/>
      <c r="BC39" s="7"/>
      <c r="BD39" s="7"/>
      <c r="BE39" s="7"/>
    </row>
    <row r="40" spans="2:57" ht="18.75" x14ac:dyDescent="0.3">
      <c r="B40" s="2" t="s">
        <v>48</v>
      </c>
      <c r="C40" s="701"/>
      <c r="D40" s="701"/>
      <c r="E40" s="701"/>
      <c r="F40" s="701"/>
      <c r="G40" s="267"/>
      <c r="H40" s="701"/>
      <c r="I40" s="701"/>
      <c r="J40" s="701"/>
      <c r="K40" s="701"/>
      <c r="L40" s="681"/>
      <c r="M40" s="700">
        <v>12</v>
      </c>
      <c r="N40" s="314">
        <v>8</v>
      </c>
      <c r="O40" s="214">
        <v>5</v>
      </c>
      <c r="P40" s="213">
        <v>8</v>
      </c>
      <c r="Q40" s="315">
        <v>5</v>
      </c>
      <c r="R40" s="326">
        <f t="shared" si="22"/>
        <v>0.47628706341121668</v>
      </c>
      <c r="S40" s="228">
        <f t="shared" si="22"/>
        <v>2.3712936588783394E-2</v>
      </c>
      <c r="T40" s="227">
        <f t="shared" si="22"/>
        <v>0.47628706341121668</v>
      </c>
      <c r="U40" s="327">
        <f t="shared" si="22"/>
        <v>2.3712936588783394E-2</v>
      </c>
      <c r="V40" s="487">
        <f t="shared" si="17"/>
        <v>0.50000000000000011</v>
      </c>
      <c r="W40" s="482">
        <f t="shared" si="18"/>
        <v>0.50000000000000011</v>
      </c>
      <c r="X40" s="492">
        <f t="shared" si="19"/>
        <v>0.95257412682243336</v>
      </c>
      <c r="Y40" s="473">
        <f t="shared" si="20"/>
        <v>4.7425873177566788E-2</v>
      </c>
      <c r="Z40" s="487">
        <f t="shared" si="23"/>
        <v>45.000000000000007</v>
      </c>
      <c r="AA40" s="482">
        <f t="shared" si="23"/>
        <v>45.000000000000007</v>
      </c>
      <c r="AB40" s="492">
        <f t="shared" si="24"/>
        <v>18003.65099694399</v>
      </c>
      <c r="AC40" s="473">
        <f t="shared" si="24"/>
        <v>896.34900305601229</v>
      </c>
      <c r="AD40" s="487">
        <f t="shared" si="25"/>
        <v>105</v>
      </c>
      <c r="AE40" s="482">
        <f t="shared" si="25"/>
        <v>105</v>
      </c>
      <c r="AF40" s="492">
        <f t="shared" si="26"/>
        <v>21603.65099694399</v>
      </c>
      <c r="AG40" s="473">
        <f t="shared" si="26"/>
        <v>4496.3490030560124</v>
      </c>
      <c r="AH40" s="316">
        <f t="shared" si="9"/>
        <v>18048.65099694399</v>
      </c>
      <c r="AI40" s="232">
        <f t="shared" si="10"/>
        <v>941.34900305601229</v>
      </c>
      <c r="AJ40" s="231">
        <f t="shared" si="11"/>
        <v>18048.65099694399</v>
      </c>
      <c r="AK40" s="317">
        <f t="shared" si="12"/>
        <v>941.34900305601229</v>
      </c>
      <c r="AL40" s="82">
        <f t="shared" si="21"/>
        <v>8.7417345321336875</v>
      </c>
      <c r="AM40" s="206">
        <f t="shared" si="13"/>
        <v>2.3554401710137967</v>
      </c>
      <c r="AN40" s="194"/>
      <c r="AO40" s="8"/>
      <c r="AP40" s="8"/>
      <c r="AQ40" s="478"/>
      <c r="AR40" s="8"/>
      <c r="AS40" s="8"/>
      <c r="AT40" s="8"/>
      <c r="AU40" s="243"/>
      <c r="AV40" s="7"/>
      <c r="AW40" s="7"/>
      <c r="AX40" s="7"/>
      <c r="AY40" s="7"/>
      <c r="AZ40" s="7"/>
      <c r="BA40" s="7"/>
      <c r="BB40" s="7"/>
      <c r="BC40" s="7"/>
      <c r="BD40" s="7"/>
      <c r="BE40" s="7"/>
    </row>
    <row r="41" spans="2:57" ht="18.75" x14ac:dyDescent="0.3">
      <c r="B41" s="5"/>
      <c r="C41" s="377"/>
      <c r="D41" s="377"/>
      <c r="E41" s="377"/>
      <c r="F41" s="377"/>
      <c r="G41" s="8"/>
      <c r="H41" s="377"/>
      <c r="I41" s="377"/>
      <c r="J41" s="377"/>
      <c r="K41" s="377"/>
      <c r="L41" s="686"/>
      <c r="M41" s="21">
        <v>13</v>
      </c>
      <c r="N41" s="694">
        <v>5</v>
      </c>
      <c r="O41" s="695">
        <v>5</v>
      </c>
      <c r="P41" s="696">
        <v>5</v>
      </c>
      <c r="Q41" s="697">
        <v>5</v>
      </c>
      <c r="R41" s="326">
        <f t="shared" si="22"/>
        <v>0.25</v>
      </c>
      <c r="S41" s="228">
        <f t="shared" si="22"/>
        <v>0.25</v>
      </c>
      <c r="T41" s="227">
        <f t="shared" si="22"/>
        <v>0.25</v>
      </c>
      <c r="U41" s="327">
        <f t="shared" si="22"/>
        <v>0.25</v>
      </c>
      <c r="V41" s="487">
        <f t="shared" si="17"/>
        <v>0.5</v>
      </c>
      <c r="W41" s="482">
        <f t="shared" si="18"/>
        <v>0.5</v>
      </c>
      <c r="X41" s="492">
        <f t="shared" si="19"/>
        <v>0.5</v>
      </c>
      <c r="Y41" s="473">
        <f t="shared" si="20"/>
        <v>0.5</v>
      </c>
      <c r="Z41" s="487">
        <f t="shared" si="23"/>
        <v>45</v>
      </c>
      <c r="AA41" s="482">
        <f t="shared" si="23"/>
        <v>45</v>
      </c>
      <c r="AB41" s="492">
        <f t="shared" si="24"/>
        <v>9450</v>
      </c>
      <c r="AC41" s="473">
        <f t="shared" si="24"/>
        <v>9450</v>
      </c>
      <c r="AD41" s="487">
        <f t="shared" si="25"/>
        <v>105</v>
      </c>
      <c r="AE41" s="482">
        <f t="shared" si="25"/>
        <v>105</v>
      </c>
      <c r="AF41" s="492">
        <f t="shared" si="26"/>
        <v>13050</v>
      </c>
      <c r="AG41" s="473">
        <f t="shared" si="26"/>
        <v>13050</v>
      </c>
      <c r="AH41" s="316">
        <f t="shared" si="9"/>
        <v>9495</v>
      </c>
      <c r="AI41" s="232">
        <f t="shared" si="10"/>
        <v>9495</v>
      </c>
      <c r="AJ41" s="231">
        <f t="shared" si="11"/>
        <v>9495</v>
      </c>
      <c r="AK41" s="317">
        <f t="shared" si="12"/>
        <v>9495</v>
      </c>
      <c r="AL41" s="82">
        <f t="shared" si="21"/>
        <v>6.3862943611198908</v>
      </c>
      <c r="AM41" s="206">
        <f t="shared" si="13"/>
        <v>-2.3554401710137967</v>
      </c>
      <c r="AN41" s="194"/>
      <c r="AO41" s="8"/>
      <c r="AP41" s="8"/>
      <c r="AQ41" s="478"/>
      <c r="AR41" s="8"/>
      <c r="AS41" s="8"/>
      <c r="AT41" s="8"/>
      <c r="AU41" s="243"/>
      <c r="AV41" s="7"/>
      <c r="AW41" s="7"/>
      <c r="AX41" s="7"/>
      <c r="AY41" s="7"/>
      <c r="AZ41" s="7"/>
      <c r="BA41" s="7"/>
      <c r="BB41" s="7"/>
      <c r="BC41" s="7"/>
      <c r="BD41" s="7"/>
      <c r="BE41" s="7"/>
    </row>
    <row r="42" spans="2:57" ht="18.75" x14ac:dyDescent="0.3">
      <c r="B42" s="2" t="s">
        <v>49</v>
      </c>
      <c r="C42" s="701"/>
      <c r="D42" s="701"/>
      <c r="E42" s="701"/>
      <c r="F42" s="701"/>
      <c r="G42" s="267"/>
      <c r="H42" s="701"/>
      <c r="I42" s="701"/>
      <c r="J42" s="701"/>
      <c r="K42" s="701"/>
      <c r="L42" s="681"/>
      <c r="M42" s="700">
        <v>14</v>
      </c>
      <c r="N42" s="314">
        <v>5</v>
      </c>
      <c r="O42" s="214">
        <v>8</v>
      </c>
      <c r="P42" s="213">
        <v>5</v>
      </c>
      <c r="Q42" s="315">
        <v>8</v>
      </c>
      <c r="R42" s="326">
        <f t="shared" si="22"/>
        <v>2.3712936588783391E-2</v>
      </c>
      <c r="S42" s="228">
        <f t="shared" si="22"/>
        <v>0.47628706341121663</v>
      </c>
      <c r="T42" s="227">
        <f t="shared" si="22"/>
        <v>2.3712936588783391E-2</v>
      </c>
      <c r="U42" s="327">
        <f t="shared" si="22"/>
        <v>0.47628706341121663</v>
      </c>
      <c r="V42" s="487">
        <f t="shared" si="17"/>
        <v>0.5</v>
      </c>
      <c r="W42" s="482">
        <f t="shared" si="18"/>
        <v>0.5</v>
      </c>
      <c r="X42" s="492">
        <f t="shared" si="19"/>
        <v>4.7425873177566781E-2</v>
      </c>
      <c r="Y42" s="473">
        <f t="shared" si="20"/>
        <v>0.95257412682243325</v>
      </c>
      <c r="Z42" s="487">
        <f t="shared" si="23"/>
        <v>45</v>
      </c>
      <c r="AA42" s="482">
        <f t="shared" si="23"/>
        <v>45</v>
      </c>
      <c r="AB42" s="492">
        <f t="shared" si="24"/>
        <v>896.34900305601218</v>
      </c>
      <c r="AC42" s="473">
        <f t="shared" si="24"/>
        <v>18003.650996943987</v>
      </c>
      <c r="AD42" s="487">
        <f t="shared" si="25"/>
        <v>105</v>
      </c>
      <c r="AE42" s="482">
        <f t="shared" si="25"/>
        <v>105</v>
      </c>
      <c r="AF42" s="492">
        <f t="shared" si="26"/>
        <v>4496.3490030560124</v>
      </c>
      <c r="AG42" s="473">
        <f t="shared" si="26"/>
        <v>21603.650996943987</v>
      </c>
      <c r="AH42" s="316">
        <f t="shared" si="9"/>
        <v>941.34900305601218</v>
      </c>
      <c r="AI42" s="232">
        <f t="shared" si="10"/>
        <v>18048.650996943987</v>
      </c>
      <c r="AJ42" s="231">
        <f t="shared" si="11"/>
        <v>941.34900305601218</v>
      </c>
      <c r="AK42" s="317">
        <f t="shared" si="12"/>
        <v>18048.650996943987</v>
      </c>
      <c r="AL42" s="82">
        <f t="shared" si="21"/>
        <v>8.7417345321336875</v>
      </c>
      <c r="AM42" s="206">
        <f t="shared" si="13"/>
        <v>2.3554401710137967</v>
      </c>
      <c r="AN42" s="194"/>
      <c r="AO42" s="8"/>
      <c r="AP42" s="8"/>
      <c r="AQ42" s="478"/>
      <c r="AR42" s="8"/>
      <c r="AS42" s="8"/>
      <c r="AT42" s="8"/>
      <c r="AU42" s="243"/>
      <c r="AV42" s="7"/>
      <c r="AW42" s="7"/>
      <c r="AX42" s="7"/>
      <c r="AY42" s="7"/>
      <c r="AZ42" s="7"/>
      <c r="BA42" s="7"/>
      <c r="BB42" s="7"/>
      <c r="BC42" s="7"/>
      <c r="BD42" s="7"/>
      <c r="BE42" s="7"/>
    </row>
    <row r="43" spans="2:57" ht="18.75" x14ac:dyDescent="0.3">
      <c r="B43" s="8"/>
      <c r="C43" s="377"/>
      <c r="D43" s="377"/>
      <c r="E43" s="377"/>
      <c r="F43" s="377"/>
      <c r="G43" s="8"/>
      <c r="H43" s="377"/>
      <c r="I43" s="377"/>
      <c r="J43" s="377"/>
      <c r="K43" s="377"/>
      <c r="L43" s="671"/>
      <c r="M43" s="25">
        <v>15</v>
      </c>
      <c r="N43" s="316">
        <v>0</v>
      </c>
      <c r="O43" s="232">
        <v>0</v>
      </c>
      <c r="P43" s="231">
        <v>0</v>
      </c>
      <c r="Q43" s="317">
        <v>52.544076865625016</v>
      </c>
      <c r="R43" s="326">
        <f t="shared" si="22"/>
        <v>1.5149467248659391E-23</v>
      </c>
      <c r="S43" s="228">
        <f t="shared" si="22"/>
        <v>1.5149467248659391E-23</v>
      </c>
      <c r="T43" s="227">
        <f t="shared" si="22"/>
        <v>1.5149467248659391E-23</v>
      </c>
      <c r="U43" s="327">
        <f t="shared" si="22"/>
        <v>1</v>
      </c>
      <c r="V43" s="487">
        <f t="shared" si="17"/>
        <v>3.0298934497318782E-23</v>
      </c>
      <c r="W43" s="482">
        <f t="shared" si="18"/>
        <v>1</v>
      </c>
      <c r="X43" s="492">
        <f t="shared" si="19"/>
        <v>3.0298934497318782E-23</v>
      </c>
      <c r="Y43" s="473">
        <f t="shared" si="20"/>
        <v>1</v>
      </c>
      <c r="Z43" s="487">
        <f t="shared" si="23"/>
        <v>2.7269041047586905E-21</v>
      </c>
      <c r="AA43" s="482">
        <f t="shared" si="23"/>
        <v>90</v>
      </c>
      <c r="AB43" s="492">
        <f t="shared" si="24"/>
        <v>5.7264986199932495E-19</v>
      </c>
      <c r="AC43" s="473">
        <f t="shared" si="24"/>
        <v>18900</v>
      </c>
      <c r="AD43" s="487">
        <f t="shared" si="25"/>
        <v>60</v>
      </c>
      <c r="AE43" s="482">
        <f t="shared" si="25"/>
        <v>150</v>
      </c>
      <c r="AF43" s="492">
        <f t="shared" si="26"/>
        <v>3600</v>
      </c>
      <c r="AG43" s="473">
        <f t="shared" si="26"/>
        <v>22500</v>
      </c>
      <c r="AH43" s="316">
        <f t="shared" si="9"/>
        <v>5.7537676610408368E-19</v>
      </c>
      <c r="AI43" s="232">
        <f t="shared" si="10"/>
        <v>18900</v>
      </c>
      <c r="AJ43" s="231">
        <f t="shared" si="11"/>
        <v>90</v>
      </c>
      <c r="AK43" s="317">
        <f t="shared" si="12"/>
        <v>18990</v>
      </c>
      <c r="AL43" s="82">
        <f t="shared" si="21"/>
        <v>52.544076865625016</v>
      </c>
      <c r="AM43" s="206">
        <f t="shared" si="13"/>
        <v>43.802342333491325</v>
      </c>
      <c r="AN43" s="194"/>
      <c r="AO43" s="8"/>
      <c r="AP43" s="8"/>
      <c r="AQ43" s="478"/>
      <c r="AR43" s="8"/>
      <c r="AS43" s="8"/>
      <c r="AT43" s="8"/>
      <c r="AU43" s="243"/>
      <c r="AV43" s="7"/>
      <c r="AW43" s="7"/>
      <c r="AX43" s="7"/>
      <c r="AY43" s="7"/>
      <c r="AZ43" s="7"/>
      <c r="BA43" s="7"/>
      <c r="BB43" s="7"/>
      <c r="BC43" s="7"/>
      <c r="BD43" s="7"/>
      <c r="BE43" s="7"/>
    </row>
    <row r="44" spans="2:57" ht="19.5" thickBot="1" x14ac:dyDescent="0.35">
      <c r="B44" s="8"/>
      <c r="C44" s="377"/>
      <c r="D44" s="377"/>
      <c r="E44" s="377"/>
      <c r="F44" s="377"/>
      <c r="G44" s="8"/>
      <c r="H44" s="377"/>
      <c r="I44" s="377"/>
      <c r="J44" s="377"/>
      <c r="K44" s="377"/>
      <c r="L44" s="671"/>
      <c r="M44" s="25">
        <v>16</v>
      </c>
      <c r="N44" s="318">
        <v>19.954664610531516</v>
      </c>
      <c r="O44" s="224">
        <v>18.950406067462698</v>
      </c>
      <c r="P44" s="223">
        <v>12.994087912163167</v>
      </c>
      <c r="Q44" s="319">
        <v>25.501544637028825</v>
      </c>
      <c r="R44" s="328">
        <f>EXP(N44/$O$23)/(EXP($N44/$O$23)+EXP($O44/$O$23)+EXP($P44/$O$23)+EXP($Q44/$O$23))</f>
        <v>3.8789233344704525E-3</v>
      </c>
      <c r="S44" s="220">
        <f>EXP(O44/$O$23)/(EXP($N44/$O$23)+EXP($O44/$O$23)+EXP($P44/$O$23)+EXP($Q44/$O$23))</f>
        <v>1.4209122301379578E-3</v>
      </c>
      <c r="T44" s="219">
        <f>EXP(P44/$O$23)/(EXP($N44/$O$23)+EXP($O44/$O$23)+EXP($P44/$O$23)+EXP($Q44/$O$23))</f>
        <v>3.679350362343358E-6</v>
      </c>
      <c r="U44" s="329">
        <f>EXP(Q44/$O$23)/(EXP($N44/$O$23)+EXP($O44/$O$23)+EXP($P44/$O$23)+EXP($Q44/$O$23))</f>
        <v>0.99469648508502917</v>
      </c>
      <c r="V44" s="488">
        <f t="shared" si="17"/>
        <v>5.2998355646084105E-3</v>
      </c>
      <c r="W44" s="483">
        <f t="shared" si="18"/>
        <v>0.99470016443539155</v>
      </c>
      <c r="X44" s="493">
        <f t="shared" si="19"/>
        <v>3.8826026848327957E-3</v>
      </c>
      <c r="Y44" s="474">
        <f t="shared" si="20"/>
        <v>0.99611739731516713</v>
      </c>
      <c r="Z44" s="488">
        <f>V44*$O$8</f>
        <v>0.47698520081475693</v>
      </c>
      <c r="AA44" s="483">
        <f>W44*$O$8</f>
        <v>89.523014799185233</v>
      </c>
      <c r="AB44" s="493">
        <f>X44*$O$16</f>
        <v>73.381190743339843</v>
      </c>
      <c r="AC44" s="474">
        <f>Y44*$O$16</f>
        <v>18826.618809256659</v>
      </c>
      <c r="AD44" s="488">
        <f>Z44+$O$6</f>
        <v>60.476985200814759</v>
      </c>
      <c r="AE44" s="483">
        <f>AA44+$O$6</f>
        <v>149.52301479918523</v>
      </c>
      <c r="AF44" s="493">
        <f>AB44+$O$14</f>
        <v>3673.3811907433396</v>
      </c>
      <c r="AG44" s="474">
        <f>AC44+$O$14</f>
        <v>22426.618809256659</v>
      </c>
      <c r="AH44" s="318">
        <f t="shared" si="9"/>
        <v>73.858175944154596</v>
      </c>
      <c r="AI44" s="224">
        <f t="shared" si="10"/>
        <v>18827.095794457473</v>
      </c>
      <c r="AJ44" s="223">
        <f t="shared" si="11"/>
        <v>162.90420554252506</v>
      </c>
      <c r="AK44" s="319">
        <f t="shared" si="12"/>
        <v>18916.141824055845</v>
      </c>
      <c r="AL44" s="112">
        <f t="shared" si="21"/>
        <v>25.506862265502118</v>
      </c>
      <c r="AM44" s="206">
        <f t="shared" si="13"/>
        <v>-27.037214600122898</v>
      </c>
      <c r="AN44" s="194"/>
      <c r="AO44" s="8"/>
      <c r="AP44" s="8"/>
      <c r="AQ44" s="478"/>
      <c r="AR44" s="8"/>
      <c r="AS44" s="8"/>
      <c r="AT44" s="8"/>
      <c r="AU44" s="243"/>
      <c r="AV44" s="7"/>
      <c r="AW44" s="7"/>
      <c r="AX44" s="7"/>
      <c r="AY44" s="7"/>
      <c r="AZ44" s="7"/>
      <c r="BA44" s="7"/>
      <c r="BB44" s="7"/>
      <c r="BC44" s="7"/>
      <c r="BD44" s="7"/>
      <c r="BE44" s="7"/>
    </row>
    <row r="45" spans="2:57" ht="16.5" thickTop="1" thickBot="1" x14ac:dyDescent="0.3">
      <c r="C45" s="668"/>
      <c r="D45" s="668"/>
      <c r="E45" s="668"/>
      <c r="F45" s="668"/>
      <c r="G45" s="7"/>
      <c r="H45" s="668"/>
      <c r="I45" s="668"/>
      <c r="J45" s="668"/>
      <c r="K45" s="668"/>
      <c r="L45" s="686"/>
      <c r="M45" s="25" t="s">
        <v>97</v>
      </c>
      <c r="N45" s="320">
        <f>N44</f>
        <v>19.954664610531516</v>
      </c>
      <c r="O45" s="321">
        <f>O44</f>
        <v>18.950406067462698</v>
      </c>
      <c r="P45" s="322">
        <f>P44</f>
        <v>12.994087912163167</v>
      </c>
      <c r="Q45" s="323">
        <f>Q44</f>
        <v>25.501544637028825</v>
      </c>
      <c r="R45" s="469">
        <f>P48*P49</f>
        <v>0.91321281599059378</v>
      </c>
      <c r="S45" s="470">
        <f>O49*P48</f>
        <v>3.1231628453850673E-2</v>
      </c>
      <c r="T45" s="470">
        <f>O48*P49</f>
        <v>5.3718400940623162E-2</v>
      </c>
      <c r="U45" s="471">
        <f>O48*O49</f>
        <v>1.8371546149323925E-3</v>
      </c>
      <c r="V45" s="489">
        <f>SUM(R45:S45)</f>
        <v>0.94444444444444442</v>
      </c>
      <c r="W45" s="484">
        <f t="shared" si="18"/>
        <v>5.5555555555555552E-2</v>
      </c>
      <c r="X45" s="494">
        <f t="shared" si="19"/>
        <v>0.96693121693121697</v>
      </c>
      <c r="Y45" s="475">
        <f t="shared" si="20"/>
        <v>3.3068783068783067E-2</v>
      </c>
      <c r="Z45" s="489">
        <f>V45*$O$8</f>
        <v>85</v>
      </c>
      <c r="AA45" s="484">
        <f>W45*$O$8</f>
        <v>5</v>
      </c>
      <c r="AB45" s="494">
        <f>X45*$O$16</f>
        <v>18275</v>
      </c>
      <c r="AC45" s="475">
        <f>Y45*$O$16</f>
        <v>625</v>
      </c>
      <c r="AD45" s="489">
        <f>Z45+$O$6</f>
        <v>145</v>
      </c>
      <c r="AE45" s="484">
        <f>AA45+$O$6</f>
        <v>65</v>
      </c>
      <c r="AF45" s="494">
        <f>AB45+$O$14</f>
        <v>21875</v>
      </c>
      <c r="AG45" s="475">
        <f>AC45+$O$14</f>
        <v>4225</v>
      </c>
      <c r="AH45" s="320">
        <f t="shared" si="9"/>
        <v>18360</v>
      </c>
      <c r="AI45" s="321">
        <f t="shared" si="10"/>
        <v>710</v>
      </c>
      <c r="AJ45" s="322">
        <f t="shared" si="11"/>
        <v>18280</v>
      </c>
      <c r="AK45" s="323">
        <f t="shared" si="12"/>
        <v>630</v>
      </c>
      <c r="AL45" s="337">
        <f t="shared" si="21"/>
        <v>25.506862265502118</v>
      </c>
      <c r="AM45" s="8" t="s">
        <v>229</v>
      </c>
      <c r="AN45" s="7"/>
      <c r="AO45" s="8"/>
      <c r="AP45" s="8"/>
      <c r="AQ45" s="8"/>
      <c r="AR45" s="8"/>
      <c r="AS45" s="8"/>
      <c r="AT45" s="8"/>
      <c r="AU45" s="8"/>
      <c r="AV45" s="8"/>
      <c r="AW45" s="8"/>
      <c r="AX45" s="8"/>
      <c r="AY45" s="7"/>
      <c r="AZ45" s="7"/>
      <c r="BA45" s="7"/>
      <c r="BB45" s="7"/>
      <c r="BC45" s="7"/>
      <c r="BD45" s="7"/>
      <c r="BE45" s="7"/>
    </row>
    <row r="46" spans="2:57" ht="15.75" thickBot="1" x14ac:dyDescent="0.3">
      <c r="L46" s="671"/>
      <c r="AH46" s="33"/>
      <c r="AI46" s="33"/>
      <c r="AJ46" s="140"/>
      <c r="AK46" s="140"/>
      <c r="AL46" s="244">
        <f>SUMPRODUCT(R45:U45,N45:Q45)</f>
        <v>19.55957940722103</v>
      </c>
      <c r="AM46" t="s">
        <v>109</v>
      </c>
      <c r="AN46" s="7"/>
      <c r="AO46" s="8"/>
      <c r="AP46" s="8"/>
      <c r="AQ46" s="8"/>
      <c r="AR46" s="8"/>
      <c r="AS46" s="8"/>
      <c r="AT46" s="8"/>
      <c r="AU46" s="8"/>
      <c r="AY46" s="7"/>
      <c r="AZ46" s="7"/>
      <c r="BA46" s="7"/>
      <c r="BB46" s="182"/>
      <c r="BC46" s="7"/>
      <c r="BD46" s="7"/>
      <c r="BE46" s="7"/>
    </row>
    <row r="47" spans="2:57" ht="15.75" thickBot="1" x14ac:dyDescent="0.3">
      <c r="L47" s="1"/>
      <c r="M47" s="150"/>
      <c r="N47" s="150" t="s">
        <v>170</v>
      </c>
      <c r="O47" s="287" t="s">
        <v>150</v>
      </c>
      <c r="P47" s="237" t="s">
        <v>167</v>
      </c>
      <c r="Q47" s="17"/>
      <c r="R47" s="17"/>
      <c r="S47" s="278"/>
      <c r="T47" s="17"/>
      <c r="U47" s="278"/>
      <c r="Z47" s="17"/>
      <c r="AA47" s="17"/>
      <c r="AB47" s="17"/>
      <c r="AC47" s="160"/>
      <c r="AH47" s="207"/>
      <c r="AI47" s="7"/>
      <c r="AJ47" s="8"/>
      <c r="AK47" s="140"/>
      <c r="AL47" s="244">
        <f>AL45-AL46</f>
        <v>5.9472828582810884</v>
      </c>
      <c r="AM47" s="7" t="s">
        <v>102</v>
      </c>
      <c r="AN47" s="7"/>
      <c r="AO47" s="8"/>
      <c r="AP47" s="8"/>
      <c r="AQ47" s="8"/>
      <c r="AR47" s="8"/>
      <c r="AS47" s="8"/>
      <c r="AT47" s="8"/>
      <c r="AU47" s="8"/>
      <c r="AV47" s="7"/>
      <c r="AW47" s="7"/>
      <c r="AX47" s="7"/>
      <c r="AY47" s="7"/>
      <c r="AZ47" s="7"/>
      <c r="BA47" s="7"/>
      <c r="BB47" s="7"/>
      <c r="BC47" s="7"/>
      <c r="BD47" s="7"/>
      <c r="BE47" s="7"/>
    </row>
    <row r="48" spans="2:57" ht="15.75" thickBot="1" x14ac:dyDescent="0.3">
      <c r="J48" t="str">
        <f>"…to "&amp;N48</f>
        <v>…to 65</v>
      </c>
      <c r="K48" s="671"/>
      <c r="L48" s="5"/>
      <c r="M48" s="21" t="s">
        <v>168</v>
      </c>
      <c r="N48" s="425">
        <v>65</v>
      </c>
      <c r="O48" s="464">
        <f>(N48-$O$6)/$O$8</f>
        <v>5.5555555555555552E-2</v>
      </c>
      <c r="P48" s="465">
        <f>1-O48</f>
        <v>0.94444444444444442</v>
      </c>
      <c r="Q48" s="260"/>
      <c r="R48" s="466">
        <f>P48*P49</f>
        <v>0.91321281599059378</v>
      </c>
      <c r="S48" s="467">
        <f>O49*P48</f>
        <v>3.1231628453850673E-2</v>
      </c>
      <c r="T48" s="467">
        <f>O48*P49</f>
        <v>5.3718400940623162E-2</v>
      </c>
      <c r="U48" s="468">
        <f>O48*O49</f>
        <v>1.8371546149323925E-3</v>
      </c>
      <c r="Y48" s="188">
        <f>SUM(V35:Y35)</f>
        <v>1.9999999999999998</v>
      </c>
      <c r="Z48" s="188"/>
      <c r="AA48" s="188"/>
      <c r="AB48" s="188"/>
      <c r="AC48" s="188">
        <f>SUM(Z35:AC35)</f>
        <v>18990</v>
      </c>
      <c r="AD48" s="188"/>
      <c r="AE48" s="188"/>
      <c r="AF48" s="188"/>
      <c r="AG48" s="188">
        <f>SUM(AD35:AG35)</f>
        <v>26310</v>
      </c>
      <c r="AH48" s="188">
        <f>SUM(AH35:AK35)</f>
        <v>37979.999999999993</v>
      </c>
      <c r="AI48" s="188"/>
      <c r="AJ48" s="188"/>
      <c r="AK48" s="188"/>
      <c r="AL48" s="246">
        <f>AL29-AL47</f>
        <v>-1.5070931597198927</v>
      </c>
      <c r="AM48" s="54" t="s">
        <v>103</v>
      </c>
      <c r="AN48" s="7"/>
      <c r="AO48" s="8"/>
      <c r="AP48" s="8"/>
      <c r="AQ48" s="8"/>
      <c r="AR48" s="8"/>
      <c r="AS48" s="8"/>
      <c r="AT48" s="8"/>
      <c r="AU48" s="28"/>
      <c r="AV48" s="28"/>
      <c r="AW48" s="28"/>
      <c r="AX48" s="28"/>
      <c r="AY48" s="7"/>
      <c r="AZ48" s="7"/>
      <c r="BA48" s="7"/>
      <c r="BB48" s="7"/>
      <c r="BC48" s="7"/>
      <c r="BD48" s="7"/>
      <c r="BE48" s="7"/>
    </row>
    <row r="49" spans="5:59" x14ac:dyDescent="0.25">
      <c r="K49" s="671"/>
      <c r="L49" s="2"/>
      <c r="M49" s="682" t="s">
        <v>267</v>
      </c>
      <c r="N49" s="702">
        <f>N48^2</f>
        <v>4225</v>
      </c>
      <c r="O49" s="429">
        <f>(N49-$O$14)/$O$16</f>
        <v>3.3068783068783067E-2</v>
      </c>
      <c r="P49" s="430">
        <f>1-O49</f>
        <v>0.96693121693121697</v>
      </c>
      <c r="Y49" s="188">
        <f>SUM(V36:Y36)</f>
        <v>2</v>
      </c>
      <c r="Z49" s="188"/>
      <c r="AA49" s="188"/>
      <c r="AB49" s="188"/>
      <c r="AC49" s="188">
        <f>SUM(Z36:AC36)</f>
        <v>18990</v>
      </c>
      <c r="AG49" s="188">
        <f>SUM(AD36:AG36)</f>
        <v>26310</v>
      </c>
      <c r="AH49" s="188">
        <f>SUM(AH36:AK36)</f>
        <v>37980</v>
      </c>
      <c r="AI49" s="188"/>
      <c r="AJ49" s="188"/>
      <c r="AK49" s="188"/>
      <c r="AL49" s="140"/>
      <c r="AM49" s="479"/>
      <c r="AN49" s="140"/>
      <c r="AO49" s="8"/>
      <c r="AP49" s="8"/>
      <c r="AQ49" s="8"/>
      <c r="BC49" s="310"/>
    </row>
    <row r="50" spans="5:59" x14ac:dyDescent="0.25">
      <c r="L50" s="7"/>
      <c r="M50" s="21"/>
      <c r="Y50" s="188">
        <f>SUM(V44:Y44)</f>
        <v>2</v>
      </c>
      <c r="Z50" s="188"/>
      <c r="AA50" s="188"/>
      <c r="AB50" s="188"/>
      <c r="AC50" s="188">
        <f>SUM(Z44:AC44)</f>
        <v>18990</v>
      </c>
      <c r="AG50" s="188">
        <f>SUM(AD44:AG44)</f>
        <v>26310</v>
      </c>
      <c r="AH50" s="188">
        <f>SUM(AH44:AK44)</f>
        <v>37980</v>
      </c>
      <c r="AI50" s="188"/>
      <c r="AJ50" s="188"/>
      <c r="AK50" s="188"/>
      <c r="AL50" s="140"/>
      <c r="AM50" s="140"/>
      <c r="AN50" s="140"/>
      <c r="AO50" s="8"/>
      <c r="AP50" s="8"/>
      <c r="AQ50" s="8"/>
    </row>
    <row r="51" spans="5:59" ht="15.75" thickBot="1" x14ac:dyDescent="0.3">
      <c r="L51" s="1"/>
      <c r="M51" s="693"/>
      <c r="N51" s="150" t="s">
        <v>170</v>
      </c>
      <c r="O51" s="287" t="s">
        <v>150</v>
      </c>
      <c r="P51" s="237" t="s">
        <v>167</v>
      </c>
      <c r="Q51" s="17"/>
      <c r="R51" s="17"/>
      <c r="S51" s="278"/>
      <c r="T51" s="17"/>
      <c r="U51" s="278"/>
      <c r="Y51" s="188">
        <f>SUM(V45:Y45)</f>
        <v>2</v>
      </c>
      <c r="Z51" s="188"/>
      <c r="AA51" s="188"/>
      <c r="AB51" s="188"/>
      <c r="AC51" s="188">
        <f>SUM(Z45:AC45)</f>
        <v>18990</v>
      </c>
      <c r="AG51" s="188">
        <f>SUM(AD45:AG45)</f>
        <v>26310</v>
      </c>
      <c r="AH51" s="188">
        <f>SUM(AH45:AK45)</f>
        <v>37980</v>
      </c>
      <c r="AI51" s="188"/>
      <c r="AJ51" s="188"/>
      <c r="AK51" s="188"/>
      <c r="AL51" s="140"/>
      <c r="AM51" s="140"/>
      <c r="AN51" s="140"/>
      <c r="AO51" s="8"/>
      <c r="AP51" s="8"/>
      <c r="AQ51" s="8"/>
    </row>
    <row r="52" spans="5:59" ht="15.75" thickBot="1" x14ac:dyDescent="0.3">
      <c r="F52" t="s">
        <v>649</v>
      </c>
      <c r="J52" t="str">
        <f>"…to "&amp;N52</f>
        <v>…to 95</v>
      </c>
      <c r="L52" s="5"/>
      <c r="M52" s="21" t="s">
        <v>168</v>
      </c>
      <c r="N52" s="425">
        <v>95</v>
      </c>
      <c r="O52" s="464">
        <f>(N52-$O$6)/$O$8</f>
        <v>0.3888888888888889</v>
      </c>
      <c r="P52" s="465">
        <f>1-O52</f>
        <v>0.61111111111111116</v>
      </c>
      <c r="Q52" s="260"/>
      <c r="R52" s="466">
        <f>P52*P53</f>
        <v>0.43569958847736634</v>
      </c>
      <c r="S52" s="467">
        <f>O53*P52</f>
        <v>0.17541152263374488</v>
      </c>
      <c r="T52" s="467">
        <f>O52*P53</f>
        <v>0.27726337448559674</v>
      </c>
      <c r="U52" s="468">
        <f>O52*O53</f>
        <v>0.11162551440329219</v>
      </c>
      <c r="Y52" s="188"/>
      <c r="Z52" s="188"/>
      <c r="AA52" s="188"/>
      <c r="AB52" s="188"/>
      <c r="AC52" s="188"/>
      <c r="AG52" s="188"/>
      <c r="AH52" s="188"/>
      <c r="AI52" s="188"/>
      <c r="AJ52" s="188"/>
      <c r="AK52" s="188"/>
      <c r="AL52" s="140"/>
      <c r="AM52" s="140"/>
      <c r="AN52" s="140"/>
      <c r="AO52" s="8"/>
      <c r="AP52" s="8"/>
      <c r="AQ52" s="8"/>
    </row>
    <row r="53" spans="5:59" ht="15.75" thickBot="1" x14ac:dyDescent="0.3">
      <c r="F53" t="s">
        <v>650</v>
      </c>
      <c r="L53" s="2"/>
      <c r="M53" s="682" t="s">
        <v>267</v>
      </c>
      <c r="N53" s="702">
        <f>N52^2</f>
        <v>9025</v>
      </c>
      <c r="O53" s="429">
        <f>(N53-$O$14)/$O$16</f>
        <v>0.28703703703703703</v>
      </c>
      <c r="P53" s="430">
        <f>1-O53</f>
        <v>0.71296296296296302</v>
      </c>
      <c r="Y53" s="188"/>
      <c r="Z53" s="188"/>
      <c r="AA53" s="188"/>
      <c r="AB53" s="188"/>
      <c r="AC53" s="188"/>
      <c r="AG53" s="188"/>
      <c r="AH53" s="188"/>
      <c r="AI53" s="188"/>
      <c r="AJ53" s="188"/>
      <c r="AK53" s="188"/>
      <c r="AL53" s="140"/>
      <c r="AM53" s="140"/>
      <c r="AN53" s="140"/>
      <c r="AO53" s="8"/>
      <c r="AP53" s="8"/>
      <c r="AQ53" s="8"/>
    </row>
    <row r="54" spans="5:59" x14ac:dyDescent="0.25">
      <c r="L54" s="7"/>
      <c r="M54" s="21"/>
      <c r="Y54" s="188"/>
      <c r="Z54" s="188"/>
      <c r="AA54" s="188"/>
      <c r="AB54" s="188"/>
      <c r="AC54" s="188"/>
      <c r="AE54" s="933"/>
      <c r="AF54" s="251"/>
      <c r="AG54" s="913"/>
      <c r="AH54" s="913"/>
      <c r="AI54" s="913"/>
      <c r="AJ54" s="913"/>
      <c r="AK54" s="913"/>
      <c r="AL54" s="273"/>
      <c r="AM54" s="273"/>
      <c r="AN54" s="273"/>
      <c r="AO54" s="605"/>
      <c r="AP54" s="605"/>
      <c r="AQ54" s="605"/>
      <c r="AR54" s="10"/>
      <c r="AS54" s="10"/>
      <c r="AT54" s="10"/>
      <c r="AU54" s="10"/>
      <c r="AV54" s="10"/>
      <c r="AW54" s="10"/>
      <c r="AX54" s="10"/>
      <c r="AY54" s="10"/>
      <c r="AZ54" s="10"/>
      <c r="BA54" s="10"/>
      <c r="BB54" s="10"/>
      <c r="BC54" s="10"/>
      <c r="BD54" s="10"/>
      <c r="BE54" s="10"/>
      <c r="BF54" s="10"/>
      <c r="BG54" s="11"/>
    </row>
    <row r="55" spans="5:59" ht="15.75" thickBot="1" x14ac:dyDescent="0.3">
      <c r="L55" s="1"/>
      <c r="M55" s="693"/>
      <c r="N55" s="150" t="s">
        <v>170</v>
      </c>
      <c r="O55" s="287" t="s">
        <v>150</v>
      </c>
      <c r="P55" s="237" t="s">
        <v>167</v>
      </c>
      <c r="Q55" s="17"/>
      <c r="R55" s="17"/>
      <c r="S55" s="278"/>
      <c r="T55" s="17"/>
      <c r="U55" s="278"/>
      <c r="W55"/>
      <c r="X55" s="1704" t="s">
        <v>652</v>
      </c>
      <c r="Y55" s="1704"/>
      <c r="AA55" s="188"/>
      <c r="AB55" s="188"/>
      <c r="AC55" s="188"/>
      <c r="AE55" s="648"/>
      <c r="AF55" s="17"/>
      <c r="AG55" s="1703" t="s">
        <v>454</v>
      </c>
      <c r="AH55" s="1703"/>
      <c r="AI55" s="1703"/>
      <c r="AJ55" s="1703"/>
      <c r="AK55" s="207"/>
      <c r="AL55" s="140"/>
      <c r="AM55" s="140"/>
      <c r="AN55" s="140"/>
      <c r="AO55" s="8"/>
      <c r="AP55" s="8"/>
      <c r="AQ55" s="8"/>
      <c r="AR55" s="7"/>
      <c r="AS55" s="7"/>
      <c r="AT55" s="7"/>
      <c r="AU55" s="7"/>
      <c r="AV55" s="7"/>
      <c r="AW55" s="7"/>
      <c r="AX55" s="7"/>
      <c r="AY55" s="7"/>
      <c r="AZ55" s="7"/>
      <c r="BA55" s="7"/>
      <c r="BB55" s="7"/>
      <c r="BC55" s="7"/>
      <c r="BD55" s="7"/>
      <c r="BE55" s="7"/>
      <c r="BF55" s="7"/>
      <c r="BG55" s="100"/>
    </row>
    <row r="56" spans="5:59" ht="15.75" thickBot="1" x14ac:dyDescent="0.3">
      <c r="J56" t="str">
        <f>"…to "&amp;N56</f>
        <v>…to 105</v>
      </c>
      <c r="L56" s="5"/>
      <c r="M56" s="21" t="s">
        <v>168</v>
      </c>
      <c r="N56" s="425">
        <v>105</v>
      </c>
      <c r="O56" s="464">
        <f>(N56-$O$6)/$O$8</f>
        <v>0.5</v>
      </c>
      <c r="P56" s="465">
        <f>1-O56</f>
        <v>0.5</v>
      </c>
      <c r="Q56" s="260"/>
      <c r="R56" s="466">
        <f>P56*P57</f>
        <v>0.3035714285714286</v>
      </c>
      <c r="S56" s="467">
        <f>O57*P56</f>
        <v>0.19642857142857142</v>
      </c>
      <c r="T56" s="467">
        <f>O56*P57</f>
        <v>0.3035714285714286</v>
      </c>
      <c r="U56" s="468">
        <f>O56*O57</f>
        <v>0.19642857142857142</v>
      </c>
      <c r="W56"/>
      <c r="X56" t="s">
        <v>653</v>
      </c>
      <c r="Y56" s="1676" t="s">
        <v>654</v>
      </c>
      <c r="Z56" s="1705"/>
      <c r="AA56" s="1705"/>
      <c r="AB56" s="1677"/>
      <c r="AC56" s="188"/>
      <c r="AE56" s="648"/>
      <c r="AF56" s="17"/>
      <c r="AG56" s="1703"/>
      <c r="AH56" s="1703"/>
      <c r="AI56" s="1703"/>
      <c r="AJ56" s="1703"/>
      <c r="AK56" s="207"/>
      <c r="AL56" s="140"/>
      <c r="AM56" s="140"/>
      <c r="AN56" s="140"/>
      <c r="AO56" s="8"/>
      <c r="AP56" s="8"/>
      <c r="AQ56" s="8"/>
      <c r="AR56" s="7"/>
      <c r="AS56" s="7"/>
      <c r="AT56" s="7"/>
      <c r="AU56" s="7"/>
      <c r="AV56" s="7"/>
      <c r="AW56" s="7"/>
      <c r="AX56" s="7"/>
      <c r="AY56" s="7"/>
      <c r="AZ56" s="7"/>
      <c r="BA56" s="7"/>
      <c r="BB56" s="7"/>
      <c r="BC56" s="7"/>
      <c r="BD56" s="7"/>
      <c r="BE56" s="7"/>
      <c r="BF56" s="7"/>
      <c r="BG56" s="100"/>
    </row>
    <row r="57" spans="5:59" ht="15.75" thickBot="1" x14ac:dyDescent="0.3">
      <c r="L57" s="2"/>
      <c r="M57" s="682" t="s">
        <v>267</v>
      </c>
      <c r="N57" s="702">
        <f>N56^2</f>
        <v>11025</v>
      </c>
      <c r="O57" s="429">
        <f>(N57-$O$14)/$O$16</f>
        <v>0.39285714285714285</v>
      </c>
      <c r="P57" s="430">
        <f>1-O57</f>
        <v>0.60714285714285721</v>
      </c>
      <c r="X57" s="188">
        <f>N48</f>
        <v>65</v>
      </c>
      <c r="Y57" s="703">
        <f>R48</f>
        <v>0.91321281599059378</v>
      </c>
      <c r="Z57" s="704">
        <f>S48</f>
        <v>3.1231628453850673E-2</v>
      </c>
      <c r="AA57" s="704">
        <f>T48</f>
        <v>5.3718400940623162E-2</v>
      </c>
      <c r="AB57" s="705">
        <f>U48</f>
        <v>1.8371546149323925E-3</v>
      </c>
      <c r="AC57" s="188"/>
      <c r="AE57" s="648"/>
      <c r="AF57" s="17"/>
      <c r="AG57" s="207"/>
      <c r="AH57" s="207"/>
      <c r="AI57" s="207"/>
      <c r="AJ57" s="207"/>
      <c r="AK57" s="207"/>
      <c r="AL57" s="140"/>
      <c r="AM57" s="140"/>
      <c r="AN57" s="140"/>
      <c r="AO57" s="8"/>
      <c r="AP57" s="8"/>
      <c r="AQ57" s="8"/>
      <c r="AR57" s="7"/>
      <c r="AS57" s="7"/>
      <c r="AT57" s="7"/>
      <c r="AU57" s="7"/>
      <c r="AV57" s="7"/>
      <c r="AW57" s="7"/>
      <c r="AX57" s="7"/>
      <c r="AY57" s="7"/>
      <c r="AZ57" s="7"/>
      <c r="BA57" s="7"/>
      <c r="BB57" s="7"/>
      <c r="BC57" s="7"/>
      <c r="BD57" s="7"/>
      <c r="BE57" s="7"/>
      <c r="BF57" s="7"/>
      <c r="BG57" s="100"/>
    </row>
    <row r="58" spans="5:59" x14ac:dyDescent="0.25">
      <c r="L58" s="7"/>
      <c r="M58" s="21"/>
      <c r="X58" s="188">
        <f>N52</f>
        <v>95</v>
      </c>
      <c r="Y58" s="706">
        <f>R52</f>
        <v>0.43569958847736634</v>
      </c>
      <c r="Z58" s="187">
        <f>S52</f>
        <v>0.17541152263374488</v>
      </c>
      <c r="AA58" s="187">
        <f>T52</f>
        <v>0.27726337448559674</v>
      </c>
      <c r="AB58" s="707">
        <f>U52</f>
        <v>0.11162551440329219</v>
      </c>
      <c r="AC58" s="188"/>
      <c r="AE58" s="648"/>
      <c r="AF58" s="17"/>
      <c r="AG58" s="912"/>
      <c r="AH58" s="913"/>
      <c r="AI58" s="913"/>
      <c r="AJ58" s="913"/>
      <c r="AK58" s="913"/>
      <c r="AL58" s="273"/>
      <c r="AM58" s="273"/>
      <c r="AN58" s="273"/>
      <c r="AO58" s="605"/>
      <c r="AP58" s="605"/>
      <c r="AQ58" s="605"/>
      <c r="AR58" s="10"/>
      <c r="AS58" s="10"/>
      <c r="AT58" s="10"/>
      <c r="AU58" s="10"/>
      <c r="AV58" s="10"/>
      <c r="AW58" s="10"/>
      <c r="AX58" s="10"/>
      <c r="AY58" s="10"/>
      <c r="AZ58" s="10"/>
      <c r="BA58" s="10"/>
      <c r="BB58" s="10"/>
      <c r="BC58" s="10"/>
      <c r="BD58" s="10"/>
      <c r="BE58" s="10"/>
      <c r="BF58" s="10"/>
      <c r="BG58" s="11"/>
    </row>
    <row r="59" spans="5:59" ht="16.5" thickBot="1" x14ac:dyDescent="0.3">
      <c r="L59" s="1"/>
      <c r="M59" s="693"/>
      <c r="N59" s="150" t="s">
        <v>170</v>
      </c>
      <c r="O59" s="287" t="s">
        <v>150</v>
      </c>
      <c r="P59" s="237" t="s">
        <v>167</v>
      </c>
      <c r="Q59" s="17"/>
      <c r="R59" s="17"/>
      <c r="S59" s="278"/>
      <c r="T59" s="17"/>
      <c r="U59" s="278"/>
      <c r="X59" s="188">
        <f>N56</f>
        <v>105</v>
      </c>
      <c r="Y59" s="708">
        <f>R56</f>
        <v>0.3035714285714286</v>
      </c>
      <c r="Z59" s="709">
        <f>S56</f>
        <v>0.19642857142857142</v>
      </c>
      <c r="AA59" s="709">
        <f>T56</f>
        <v>0.3035714285714286</v>
      </c>
      <c r="AB59" s="710">
        <f>U56</f>
        <v>0.19642857142857142</v>
      </c>
      <c r="AC59" s="188"/>
      <c r="AE59" s="648"/>
      <c r="AF59" s="17"/>
      <c r="AG59" s="914"/>
      <c r="AH59" s="915" t="s">
        <v>431</v>
      </c>
      <c r="AI59" s="207"/>
      <c r="AJ59" s="207"/>
      <c r="AK59" s="207"/>
      <c r="AL59" s="140"/>
      <c r="AM59" s="140"/>
      <c r="AN59" s="140"/>
      <c r="AO59" s="8"/>
      <c r="AP59" s="8"/>
      <c r="AQ59" s="8"/>
      <c r="AR59" s="7"/>
      <c r="AS59" s="7"/>
      <c r="AT59" s="7"/>
      <c r="AU59" s="7"/>
      <c r="AV59" s="7"/>
      <c r="AW59" s="7"/>
      <c r="AX59" s="7"/>
      <c r="AY59" s="7"/>
      <c r="AZ59" s="7"/>
      <c r="BA59" s="7"/>
      <c r="BB59" s="7"/>
      <c r="BC59" s="7"/>
      <c r="BD59" s="7"/>
      <c r="BE59" s="7"/>
      <c r="BF59" s="7"/>
      <c r="BG59" s="100"/>
    </row>
    <row r="60" spans="5:59" ht="15.75" thickBot="1" x14ac:dyDescent="0.3">
      <c r="J60" t="str">
        <f>"…to "&amp;N60</f>
        <v>…to 120</v>
      </c>
      <c r="L60" s="5"/>
      <c r="M60" s="21" t="s">
        <v>168</v>
      </c>
      <c r="N60" s="425">
        <v>120</v>
      </c>
      <c r="O60" s="464">
        <f>(N60-$O$6)/$O$8</f>
        <v>0.66666666666666663</v>
      </c>
      <c r="P60" s="465">
        <f>1-O60</f>
        <v>0.33333333333333337</v>
      </c>
      <c r="Q60" s="260"/>
      <c r="R60" s="466">
        <f>P60*P61</f>
        <v>0.14285714285714288</v>
      </c>
      <c r="S60" s="467">
        <f>O61*P60</f>
        <v>0.19047619047619049</v>
      </c>
      <c r="T60" s="467">
        <f>O60*P61</f>
        <v>0.2857142857142857</v>
      </c>
      <c r="U60" s="468">
        <f>O60*O61</f>
        <v>0.38095238095238093</v>
      </c>
      <c r="X60" s="188">
        <f>N60</f>
        <v>120</v>
      </c>
      <c r="Y60" s="711">
        <f>R60</f>
        <v>0.14285714285714288</v>
      </c>
      <c r="Z60" s="712">
        <f>S60</f>
        <v>0.19047619047619049</v>
      </c>
      <c r="AA60" s="712">
        <f>T60</f>
        <v>0.2857142857142857</v>
      </c>
      <c r="AB60" s="713">
        <f>U60</f>
        <v>0.38095238095238093</v>
      </c>
      <c r="AC60" s="188"/>
      <c r="AE60" s="648"/>
      <c r="AF60" s="17"/>
      <c r="AG60" s="914"/>
      <c r="AH60" s="289"/>
      <c r="AI60" s="289"/>
      <c r="AJ60" s="289"/>
      <c r="AK60" s="289"/>
      <c r="AL60" s="265"/>
      <c r="AM60" s="265"/>
      <c r="AN60" s="265"/>
      <c r="AO60" s="267"/>
      <c r="AP60" s="267"/>
      <c r="AQ60" s="267"/>
      <c r="AR60" s="245"/>
      <c r="AS60" s="245"/>
      <c r="AT60" s="245"/>
      <c r="AU60" s="245"/>
      <c r="AV60" s="245"/>
      <c r="AW60" s="245"/>
      <c r="AX60" s="245"/>
      <c r="AY60" s="245"/>
      <c r="AZ60" s="245"/>
      <c r="BA60" s="245"/>
      <c r="BB60" s="245"/>
      <c r="BC60" s="245"/>
      <c r="BD60" s="245"/>
      <c r="BE60" s="245"/>
      <c r="BF60" s="245"/>
      <c r="BG60" s="922"/>
    </row>
    <row r="61" spans="5:59" ht="15.75" customHeight="1" thickBot="1" x14ac:dyDescent="0.3">
      <c r="E61" s="1668" t="s">
        <v>648</v>
      </c>
      <c r="F61" s="1668"/>
      <c r="G61" s="1668"/>
      <c r="H61" s="1668"/>
      <c r="L61" s="2"/>
      <c r="M61" s="682" t="s">
        <v>267</v>
      </c>
      <c r="N61" s="702">
        <f>N60^2</f>
        <v>14400</v>
      </c>
      <c r="O61" s="429">
        <f>(N61-$O$14)/$O$16</f>
        <v>0.5714285714285714</v>
      </c>
      <c r="P61" s="430">
        <f>1-O61</f>
        <v>0.4285714285714286</v>
      </c>
      <c r="X61" s="188">
        <f>N64</f>
        <v>145</v>
      </c>
      <c r="Y61" s="714">
        <f>R64</f>
        <v>4.335684891240448E-3</v>
      </c>
      <c r="Z61" s="715">
        <f>S64</f>
        <v>5.1219870664315131E-2</v>
      </c>
      <c r="AA61" s="715">
        <f>T64</f>
        <v>7.3706643151087575E-2</v>
      </c>
      <c r="AB61" s="716">
        <f>U64</f>
        <v>0.87073780129335687</v>
      </c>
      <c r="AC61" s="188"/>
      <c r="AE61" s="648"/>
      <c r="AF61" s="17"/>
      <c r="AG61" s="916">
        <v>2</v>
      </c>
      <c r="AH61" s="316">
        <v>1</v>
      </c>
      <c r="AI61" s="232">
        <v>3</v>
      </c>
      <c r="AJ61" s="231">
        <v>2</v>
      </c>
      <c r="AK61" s="317">
        <v>4</v>
      </c>
      <c r="AL61" s="908">
        <f t="shared" ref="AL61:AO62" si="27">EXP(AH61/$O$23)/(EXP($AH61/$O$23)+EXP($AI61/$O$23)+EXP($AJ61/$O$23)+EXP($AK61/$O$23))</f>
        <v>3.2058603280084988E-2</v>
      </c>
      <c r="AM61" s="909">
        <f t="shared" si="27"/>
        <v>0.23688281808991013</v>
      </c>
      <c r="AN61" s="910">
        <f t="shared" si="27"/>
        <v>8.7144318742032573E-2</v>
      </c>
      <c r="AO61" s="911">
        <f t="shared" si="27"/>
        <v>0.64391425988797224</v>
      </c>
      <c r="AP61" s="487">
        <f>SUM(AL61:AM61)</f>
        <v>0.2689414213699951</v>
      </c>
      <c r="AQ61" s="482">
        <f>SUM(AN61,AO61)</f>
        <v>0.73105857863000479</v>
      </c>
      <c r="AR61" s="492">
        <f>SUM(AN61,AL61)</f>
        <v>0.11920292202211756</v>
      </c>
      <c r="AS61" s="473">
        <f>SUM(AM61,AO61)</f>
        <v>0.88079707797788243</v>
      </c>
      <c r="AT61" s="487">
        <f>AP61*$O$8</f>
        <v>24.204727923299558</v>
      </c>
      <c r="AU61" s="482">
        <f>AQ61*$O$8</f>
        <v>65.795272076700428</v>
      </c>
      <c r="AV61" s="492">
        <f>AR61*$O$16</f>
        <v>2252.9352262180219</v>
      </c>
      <c r="AW61" s="473">
        <f>AS61*$O$16</f>
        <v>16647.064773781978</v>
      </c>
      <c r="AX61" s="487">
        <f>AT61+$O$6</f>
        <v>84.204727923299558</v>
      </c>
      <c r="AY61" s="482">
        <f>AU61+$O$6</f>
        <v>125.79527207670043</v>
      </c>
      <c r="AZ61" s="492">
        <f>AV61+$O$14</f>
        <v>5852.9352262180219</v>
      </c>
      <c r="BA61" s="473">
        <f>AW61+$O$14</f>
        <v>20247.064773781978</v>
      </c>
      <c r="BB61" s="316">
        <f>SUM(AT61,AV61)</f>
        <v>2277.1399541413216</v>
      </c>
      <c r="BC61" s="232">
        <f>SUM(AT61,AW61)</f>
        <v>16671.269501705279</v>
      </c>
      <c r="BD61" s="231">
        <f>SUM(AU61,AV61)</f>
        <v>2318.7304982947221</v>
      </c>
      <c r="BE61" s="317">
        <f>SUM(AU61,AW61)</f>
        <v>16712.860045858677</v>
      </c>
      <c r="BF61" s="82">
        <f>$O$23*LN(EXP($AH61/$O$23) + EXP($AI61/$O$23) + EXP($AJ61/$O$23) +EXP($AK61/$O$23) )</f>
        <v>4.4401896985611957</v>
      </c>
      <c r="BG61" s="206">
        <f>BF61</f>
        <v>4.4401896985611957</v>
      </c>
    </row>
    <row r="62" spans="5:59" ht="15.75" thickBot="1" x14ac:dyDescent="0.3">
      <c r="E62" s="1668"/>
      <c r="F62" s="1668"/>
      <c r="G62" s="1668"/>
      <c r="H62" s="1668"/>
      <c r="L62" s="7"/>
      <c r="M62" s="21"/>
      <c r="Y62" s="207"/>
      <c r="Z62" s="188"/>
      <c r="AA62" s="188"/>
      <c r="AB62" s="188"/>
      <c r="AC62" s="188"/>
      <c r="AE62" s="648"/>
      <c r="AF62" s="17"/>
      <c r="AG62" s="917">
        <v>3</v>
      </c>
      <c r="AH62" s="320">
        <v>1</v>
      </c>
      <c r="AI62" s="321">
        <v>5.2135397545717401</v>
      </c>
      <c r="AJ62" s="322">
        <v>2</v>
      </c>
      <c r="AK62" s="323">
        <v>6.2135447194523996</v>
      </c>
      <c r="AL62" s="918">
        <f t="shared" si="27"/>
        <v>3.9206784542248499E-3</v>
      </c>
      <c r="AM62" s="919">
        <f t="shared" si="27"/>
        <v>0.26501978099265644</v>
      </c>
      <c r="AN62" s="920">
        <f t="shared" si="27"/>
        <v>1.0657508997350308E-2</v>
      </c>
      <c r="AO62" s="921">
        <f t="shared" si="27"/>
        <v>0.72040203155576843</v>
      </c>
      <c r="AP62" s="489">
        <f>SUM(AL62:AM62)</f>
        <v>0.26894045944688127</v>
      </c>
      <c r="AQ62" s="484">
        <f>SUM(AN62,AO62)</f>
        <v>0.73105954055311873</v>
      </c>
      <c r="AR62" s="494">
        <f>SUM(AN62,AL62)</f>
        <v>1.4578187451575159E-2</v>
      </c>
      <c r="AS62" s="475">
        <f>SUM(AM62,AO62)</f>
        <v>0.98542181254842487</v>
      </c>
      <c r="AT62" s="489">
        <f>AP62*$O$8</f>
        <v>24.204641350219315</v>
      </c>
      <c r="AU62" s="484">
        <f>AQ62*$O$8</f>
        <v>65.795358649780681</v>
      </c>
      <c r="AV62" s="494">
        <f>AR62*$O$16</f>
        <v>275.52774283477049</v>
      </c>
      <c r="AW62" s="475">
        <f>AS62*$O$16</f>
        <v>18624.472257165231</v>
      </c>
      <c r="AX62" s="489">
        <f>AT62+$O$6</f>
        <v>84.204641350219319</v>
      </c>
      <c r="AY62" s="484">
        <f>AU62+$O$6</f>
        <v>125.79535864978068</v>
      </c>
      <c r="AZ62" s="494">
        <f>AV62+$O$14</f>
        <v>3875.5277428347704</v>
      </c>
      <c r="BA62" s="475">
        <f>AW62+$O$14</f>
        <v>22224.472257165231</v>
      </c>
      <c r="BB62" s="320">
        <f>SUM(AT62,AV62)</f>
        <v>299.73238418498983</v>
      </c>
      <c r="BC62" s="321">
        <f>SUM(AT62,AW62)</f>
        <v>18648.676898515449</v>
      </c>
      <c r="BD62" s="322">
        <f>SUM(AU62,AV62)</f>
        <v>341.32310148455116</v>
      </c>
      <c r="BE62" s="323">
        <f>SUM(AU62,AW62)</f>
        <v>18690.267615815013</v>
      </c>
      <c r="BF62" s="83">
        <f>$O$23*LN(EXP($AH62/$O$23) + EXP($AI62/$O$23) + EXP($AJ62/$O$23) +EXP($AK62/$O$23) )</f>
        <v>6.5414905650981661</v>
      </c>
      <c r="BG62" s="394">
        <f>(BF62-BF61)</f>
        <v>2.1013008665369703</v>
      </c>
    </row>
    <row r="63" spans="5:59" ht="15.75" thickBot="1" x14ac:dyDescent="0.3">
      <c r="E63" s="1668"/>
      <c r="F63" s="1668"/>
      <c r="G63" s="1668"/>
      <c r="H63" s="1668"/>
      <c r="L63" s="1"/>
      <c r="M63" s="693"/>
      <c r="N63" s="150" t="s">
        <v>170</v>
      </c>
      <c r="O63" s="287" t="s">
        <v>150</v>
      </c>
      <c r="P63" s="237" t="s">
        <v>167</v>
      </c>
      <c r="Q63" s="17"/>
      <c r="R63" s="17"/>
      <c r="S63" s="278"/>
      <c r="T63" s="17"/>
      <c r="U63" s="278"/>
      <c r="V63" s="17"/>
      <c r="W63" s="17"/>
      <c r="X63" s="17"/>
      <c r="Y63" s="207"/>
      <c r="Z63" s="207"/>
      <c r="AA63" s="188"/>
      <c r="AB63" s="188"/>
      <c r="AC63" s="188"/>
      <c r="AE63" s="648"/>
      <c r="AF63" s="17"/>
      <c r="AG63" s="207"/>
      <c r="AH63" s="207"/>
      <c r="AI63" s="207"/>
      <c r="AJ63" s="207"/>
      <c r="AK63" s="207"/>
      <c r="AL63" s="140"/>
      <c r="AM63" s="140"/>
      <c r="AN63" s="140"/>
      <c r="AO63" s="8"/>
      <c r="AP63" s="8"/>
      <c r="AQ63" s="8"/>
      <c r="AR63" s="7"/>
      <c r="AS63" s="7"/>
      <c r="AT63" s="7"/>
      <c r="AU63" s="7"/>
      <c r="AV63" s="7"/>
      <c r="AW63" s="7"/>
      <c r="AX63" s="7"/>
      <c r="AY63" s="7"/>
      <c r="AZ63" s="7"/>
      <c r="BA63" s="7"/>
      <c r="BB63" s="7"/>
      <c r="BC63" s="7"/>
      <c r="BD63" s="7"/>
      <c r="BE63" s="7"/>
      <c r="BF63" s="7"/>
      <c r="BG63" s="100"/>
    </row>
    <row r="64" spans="5:59" ht="15.75" thickBot="1" x14ac:dyDescent="0.3">
      <c r="E64" s="1668"/>
      <c r="F64" s="1668"/>
      <c r="G64" s="1668"/>
      <c r="H64" s="1668"/>
      <c r="J64" t="str">
        <f>"…to "&amp;N64</f>
        <v>…to 145</v>
      </c>
      <c r="L64" s="5"/>
      <c r="M64" s="21" t="s">
        <v>168</v>
      </c>
      <c r="N64" s="425">
        <v>145</v>
      </c>
      <c r="O64" s="464">
        <f>(N64-$O$6)/$O$8</f>
        <v>0.94444444444444442</v>
      </c>
      <c r="P64" s="465">
        <f>1-O64</f>
        <v>5.555555555555558E-2</v>
      </c>
      <c r="Q64" s="260"/>
      <c r="R64" s="466">
        <f>P64*P65</f>
        <v>4.335684891240448E-3</v>
      </c>
      <c r="S64" s="467">
        <f>O65*P64</f>
        <v>5.1219870664315131E-2</v>
      </c>
      <c r="T64" s="467">
        <f>O64*P65</f>
        <v>7.3706643151087575E-2</v>
      </c>
      <c r="U64" s="468">
        <f>O64*O65</f>
        <v>0.87073780129335687</v>
      </c>
      <c r="V64" s="17"/>
      <c r="W64" s="17"/>
      <c r="X64" s="17"/>
      <c r="Y64" s="207"/>
      <c r="Z64" s="207"/>
      <c r="AA64" s="188"/>
      <c r="AB64" s="188"/>
      <c r="AC64" s="188"/>
      <c r="AE64" s="648"/>
      <c r="AF64" s="17"/>
      <c r="AG64" s="207" t="s">
        <v>432</v>
      </c>
      <c r="AH64" s="923">
        <f>AH62-AH61</f>
        <v>0</v>
      </c>
      <c r="AI64" s="924">
        <f>AI62-AI61</f>
        <v>2.2135397545717401</v>
      </c>
      <c r="AJ64" s="924">
        <f>AJ62-AJ61</f>
        <v>0</v>
      </c>
      <c r="AK64" s="925">
        <f>AK62-AK61</f>
        <v>2.2135447194523996</v>
      </c>
      <c r="AL64" s="140" t="s">
        <v>434</v>
      </c>
      <c r="AM64" s="140"/>
      <c r="AN64" s="140"/>
      <c r="AO64" s="8"/>
      <c r="AP64" s="8"/>
      <c r="AQ64" s="8"/>
      <c r="AR64" s="7"/>
      <c r="AS64" s="7"/>
      <c r="AT64" s="7"/>
      <c r="AU64" s="7"/>
      <c r="AV64" s="7"/>
      <c r="AW64" s="7"/>
      <c r="AX64" s="7"/>
      <c r="AY64" s="7"/>
      <c r="AZ64" s="7"/>
      <c r="BA64" s="7"/>
      <c r="BB64" s="7"/>
      <c r="BC64" s="7"/>
      <c r="BD64" s="7"/>
      <c r="BE64" s="7"/>
      <c r="BF64" s="7"/>
      <c r="BG64" s="100"/>
    </row>
    <row r="65" spans="4:59" x14ac:dyDescent="0.25">
      <c r="E65" s="1668"/>
      <c r="F65" s="1668"/>
      <c r="G65" s="1668"/>
      <c r="H65" s="1668"/>
      <c r="L65" s="2"/>
      <c r="M65" s="682" t="s">
        <v>267</v>
      </c>
      <c r="N65" s="702">
        <f>N64^2</f>
        <v>21025</v>
      </c>
      <c r="O65" s="429">
        <f>(N65-$O$14)/$O$16</f>
        <v>0.92195767195767198</v>
      </c>
      <c r="P65" s="430">
        <f>1-O65</f>
        <v>7.8042328042328024E-2</v>
      </c>
      <c r="V65" s="17"/>
      <c r="W65" s="17"/>
      <c r="X65" s="17"/>
      <c r="Y65" s="207"/>
      <c r="Z65" s="207"/>
      <c r="AA65" s="188"/>
      <c r="AB65" s="188"/>
      <c r="AC65" s="188"/>
      <c r="AE65" s="648"/>
      <c r="AF65" s="17"/>
      <c r="AG65" s="207" t="s">
        <v>655</v>
      </c>
      <c r="AH65" s="668">
        <f>BG62</f>
        <v>2.1013008665369703</v>
      </c>
      <c r="AI65" s="668"/>
      <c r="AJ65" s="668"/>
      <c r="AK65" s="668"/>
      <c r="AL65" s="140"/>
      <c r="AM65" s="140"/>
      <c r="AN65" s="140"/>
      <c r="AO65" s="8"/>
      <c r="AP65" s="8"/>
      <c r="AQ65" s="8"/>
      <c r="AR65" s="7"/>
      <c r="AS65" s="7"/>
      <c r="AT65" s="7"/>
      <c r="AU65" s="7"/>
      <c r="AV65" s="7"/>
      <c r="AW65" s="7"/>
      <c r="AX65" s="7"/>
      <c r="AY65" s="7"/>
      <c r="AZ65" s="7"/>
      <c r="BA65" s="7"/>
      <c r="BB65" s="7"/>
      <c r="BC65" s="7"/>
      <c r="BD65" s="7"/>
      <c r="BE65" s="7"/>
      <c r="BF65" s="7"/>
      <c r="BG65" s="100"/>
    </row>
    <row r="66" spans="4:59" x14ac:dyDescent="0.25">
      <c r="V66" s="17"/>
      <c r="W66" s="17"/>
      <c r="X66" s="17"/>
      <c r="Y66" s="207"/>
      <c r="Z66" s="207"/>
      <c r="AA66" s="188"/>
      <c r="AB66" s="188"/>
      <c r="AC66" s="188"/>
      <c r="AD66" s="188"/>
      <c r="AE66" s="914"/>
      <c r="AF66" s="207"/>
      <c r="AG66" s="207" t="s">
        <v>433</v>
      </c>
      <c r="AH66" s="377">
        <f>SUMPRODUCT(AH64:AK64,AL61:AO61)</f>
        <v>1.9496825447721231</v>
      </c>
      <c r="AI66" s="143"/>
      <c r="AJ66" s="143"/>
      <c r="AK66" s="143"/>
      <c r="AL66" s="8" t="s">
        <v>435</v>
      </c>
      <c r="AM66" s="8"/>
      <c r="AN66" s="7"/>
      <c r="AO66" s="7"/>
      <c r="AP66" s="7"/>
      <c r="AQ66" s="7"/>
      <c r="AR66" s="7"/>
      <c r="AS66" s="7"/>
      <c r="AT66" s="7"/>
      <c r="AU66" s="7"/>
      <c r="AV66" s="7"/>
      <c r="AW66" s="7"/>
      <c r="AX66" s="7"/>
      <c r="AY66" s="7"/>
      <c r="AZ66" s="7"/>
      <c r="BA66" s="7"/>
      <c r="BB66" s="7"/>
      <c r="BC66" s="7"/>
      <c r="BD66" s="7"/>
      <c r="BE66" s="7"/>
      <c r="BF66" s="7"/>
      <c r="BG66" s="100"/>
    </row>
    <row r="67" spans="4:59" ht="21" x14ac:dyDescent="0.35">
      <c r="D67" s="139" t="s">
        <v>268</v>
      </c>
      <c r="J67" s="139" t="s">
        <v>269</v>
      </c>
      <c r="K67" s="33"/>
      <c r="L67" s="33"/>
      <c r="M67" s="33"/>
      <c r="O67" s="139" t="s">
        <v>270</v>
      </c>
      <c r="P67"/>
      <c r="Q67"/>
      <c r="R67"/>
      <c r="T67" s="139" t="s">
        <v>271</v>
      </c>
      <c r="U67"/>
      <c r="V67"/>
      <c r="W67"/>
      <c r="Y67" s="188"/>
      <c r="Z67" s="188"/>
      <c r="AA67" s="188"/>
      <c r="AB67" s="188"/>
      <c r="AC67" s="188"/>
      <c r="AD67" s="188"/>
      <c r="AE67" s="914"/>
      <c r="AF67" s="207"/>
      <c r="AG67" s="207"/>
      <c r="AH67" s="8"/>
      <c r="AI67" s="8"/>
      <c r="AJ67" s="8"/>
      <c r="AK67" s="8"/>
      <c r="AL67" s="8"/>
      <c r="AM67" s="8"/>
      <c r="AN67" s="7"/>
      <c r="AO67" s="7"/>
      <c r="AP67" s="7"/>
      <c r="AQ67" s="7"/>
      <c r="AR67" s="7"/>
      <c r="AS67" s="7"/>
      <c r="AT67" s="7"/>
      <c r="AU67" s="7"/>
      <c r="AV67" s="7"/>
      <c r="AW67" s="7"/>
      <c r="AX67" s="7"/>
      <c r="AY67" s="7"/>
      <c r="AZ67" s="7"/>
      <c r="BA67" s="7"/>
      <c r="BB67" s="7"/>
      <c r="BC67" s="7"/>
      <c r="BD67" s="7"/>
      <c r="BE67" s="7"/>
      <c r="BF67" s="7"/>
      <c r="BG67" s="100"/>
    </row>
    <row r="68" spans="4:59" x14ac:dyDescent="0.25">
      <c r="J68" s="33"/>
      <c r="K68" s="33"/>
      <c r="L68" s="33"/>
      <c r="M68" s="33"/>
      <c r="O68"/>
      <c r="P68"/>
      <c r="Q68"/>
      <c r="R68"/>
      <c r="T68"/>
      <c r="U68"/>
      <c r="V68"/>
      <c r="W68"/>
      <c r="Y68" s="188"/>
      <c r="Z68" s="188"/>
      <c r="AA68" s="188"/>
      <c r="AB68" s="188"/>
      <c r="AC68" s="188"/>
      <c r="AD68" s="188"/>
      <c r="AE68" s="914"/>
      <c r="AF68" s="207"/>
      <c r="AG68" s="20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100"/>
    </row>
    <row r="69" spans="4:59" ht="15.75" x14ac:dyDescent="0.25">
      <c r="D69" s="718">
        <f>N36-N35</f>
        <v>7.940404478327685</v>
      </c>
      <c r="E69" s="718">
        <f>O36-O35</f>
        <v>0</v>
      </c>
      <c r="F69" s="718">
        <f>P36-P35</f>
        <v>0.47640978015546409</v>
      </c>
      <c r="G69" s="718">
        <f>Q36-Q35</f>
        <v>0</v>
      </c>
      <c r="J69" s="718">
        <f>N38-N37</f>
        <v>1.2337232899711768</v>
      </c>
      <c r="K69" s="718">
        <f>O38-O37</f>
        <v>17.175085208689737</v>
      </c>
      <c r="L69" s="718">
        <f>P38-P37</f>
        <v>0</v>
      </c>
      <c r="M69" s="718">
        <f>Q38-Q37</f>
        <v>20.451752426635309</v>
      </c>
      <c r="N69" s="17"/>
      <c r="O69" s="718">
        <f>N40-N39</f>
        <v>3</v>
      </c>
      <c r="P69" s="718">
        <f>O40-O39</f>
        <v>0</v>
      </c>
      <c r="Q69" s="718">
        <f>P40-P39</f>
        <v>3</v>
      </c>
      <c r="R69" s="718">
        <f>Q40-Q39</f>
        <v>0</v>
      </c>
      <c r="T69" s="718">
        <f>N42-N41</f>
        <v>0</v>
      </c>
      <c r="U69" s="718">
        <f>O42-O41</f>
        <v>3</v>
      </c>
      <c r="V69" s="718">
        <f>P42-P41</f>
        <v>0</v>
      </c>
      <c r="W69" s="718">
        <f>Q42-Q41</f>
        <v>3</v>
      </c>
      <c r="Y69" s="188" t="s">
        <v>651</v>
      </c>
      <c r="Z69" s="188"/>
      <c r="AA69" s="188"/>
      <c r="AB69" s="188"/>
      <c r="AC69" s="188"/>
      <c r="AD69" s="188"/>
      <c r="AE69" s="914"/>
      <c r="AF69" s="207"/>
      <c r="AG69" s="915" t="s">
        <v>442</v>
      </c>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100"/>
    </row>
    <row r="70" spans="4:59" x14ac:dyDescent="0.25">
      <c r="D70" s="8"/>
      <c r="E70" s="8"/>
      <c r="J70" s="33"/>
      <c r="K70" s="33"/>
      <c r="L70" s="33"/>
      <c r="M70" s="33"/>
      <c r="O70" s="8"/>
      <c r="P70" s="8"/>
      <c r="Q70"/>
      <c r="R70"/>
      <c r="T70" s="8"/>
      <c r="U70" s="8"/>
      <c r="V70"/>
      <c r="W70"/>
      <c r="Y70" s="188"/>
      <c r="Z70" s="188"/>
      <c r="AA70" s="188"/>
      <c r="AB70" s="188"/>
      <c r="AC70" s="188"/>
      <c r="AD70" s="188"/>
      <c r="AE70" s="914"/>
      <c r="AF70" s="207"/>
      <c r="AG70" s="20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100"/>
    </row>
    <row r="71" spans="4:59" x14ac:dyDescent="0.25">
      <c r="D71" s="719" t="s">
        <v>173</v>
      </c>
      <c r="E71" s="720" t="s">
        <v>272</v>
      </c>
      <c r="G71" t="s">
        <v>227</v>
      </c>
      <c r="J71" s="719" t="s">
        <v>173</v>
      </c>
      <c r="K71" s="720" t="s">
        <v>272</v>
      </c>
      <c r="L71" s="33"/>
      <c r="M71" t="s">
        <v>227</v>
      </c>
      <c r="O71" s="719" t="s">
        <v>173</v>
      </c>
      <c r="P71" s="720" t="s">
        <v>272</v>
      </c>
      <c r="Q71"/>
      <c r="R71" t="s">
        <v>227</v>
      </c>
      <c r="T71" s="719" t="s">
        <v>173</v>
      </c>
      <c r="U71" s="720" t="s">
        <v>272</v>
      </c>
      <c r="V71"/>
      <c r="W71" t="s">
        <v>227</v>
      </c>
      <c r="AE71" s="648"/>
      <c r="AF71" s="17"/>
      <c r="AG71" s="7"/>
      <c r="AH71" s="7"/>
      <c r="AI71" s="7"/>
      <c r="AJ71" s="1643" t="s">
        <v>436</v>
      </c>
      <c r="AK71" s="1645"/>
      <c r="AL71" s="1643" t="s">
        <v>443</v>
      </c>
      <c r="AM71" s="1645"/>
      <c r="AN71" s="7"/>
      <c r="AO71" s="7"/>
      <c r="AP71" s="7"/>
      <c r="AQ71" s="7"/>
      <c r="AR71" s="7"/>
      <c r="AS71" s="7"/>
      <c r="AT71" s="7"/>
      <c r="AU71" s="7"/>
      <c r="AV71" s="7"/>
      <c r="AW71" s="7"/>
      <c r="AX71" s="7"/>
      <c r="AY71" s="7"/>
      <c r="AZ71" s="7"/>
      <c r="BA71" s="7"/>
      <c r="BB71" s="7"/>
      <c r="BC71" s="7"/>
      <c r="BD71" s="7"/>
      <c r="BE71" s="7"/>
      <c r="BF71" s="7"/>
      <c r="BG71" s="100"/>
    </row>
    <row r="72" spans="4:59" x14ac:dyDescent="0.25">
      <c r="D72" s="719">
        <f>SUMPRODUCT($D$69:$G$69,$R$35:$U$35)</f>
        <v>0.17929265249822182</v>
      </c>
      <c r="E72" s="721">
        <f>SUMPRODUCT(D$69:G$69,$Y57:$AB57)</f>
        <v>7.2768711053403727</v>
      </c>
      <c r="G72" s="722">
        <f>(E72-D72)/D72</f>
        <v>39.586555020220601</v>
      </c>
      <c r="J72" s="719">
        <f>SUMPRODUCT($J$69:$M$69,$R$37:$U$37)</f>
        <v>10.794037588872058</v>
      </c>
      <c r="K72" s="721">
        <f>SUMPRODUCT(J$69:M$69,$Y57:$AB57)</f>
        <v>1.7006308310428304</v>
      </c>
      <c r="L72" s="33"/>
      <c r="M72" s="722">
        <f>(K72-J72)/J72</f>
        <v>-0.84244720133307038</v>
      </c>
      <c r="O72" s="719">
        <f>SUMPRODUCT($O$69:$R$69,$R$39:$U$39)</f>
        <v>1.5</v>
      </c>
      <c r="P72" s="721">
        <f>SUMPRODUCT(O$69:R$69,$Y57:$AB57)</f>
        <v>2.9007936507936507</v>
      </c>
      <c r="Q72"/>
      <c r="R72" s="722">
        <f>(P72-O72)/O72</f>
        <v>0.93386243386243384</v>
      </c>
      <c r="T72" s="719">
        <f>SUMPRODUCT($T$69:$W$69,$R$41:$U$41)</f>
        <v>1.5</v>
      </c>
      <c r="U72" s="721">
        <f>SUMPRODUCT(T$69:W$69,$Y57:$AB57)</f>
        <v>9.9206349206349187E-2</v>
      </c>
      <c r="V72"/>
      <c r="W72" s="722">
        <f>(U72-T72)/T72</f>
        <v>-0.93386243386243384</v>
      </c>
      <c r="AE72" s="648"/>
      <c r="AF72" s="17"/>
      <c r="AG72" s="7"/>
      <c r="AH72" s="897" t="s">
        <v>174</v>
      </c>
      <c r="AI72" s="897" t="s">
        <v>446</v>
      </c>
      <c r="AJ72" s="928" t="s">
        <v>445</v>
      </c>
      <c r="AK72" s="929" t="s">
        <v>447</v>
      </c>
      <c r="AL72" s="928" t="s">
        <v>444</v>
      </c>
      <c r="AM72" s="929" t="s">
        <v>447</v>
      </c>
      <c r="AN72" s="7"/>
      <c r="AO72" s="7"/>
      <c r="AP72" s="7"/>
      <c r="AQ72" s="7"/>
      <c r="AR72" s="7"/>
      <c r="AS72" s="7"/>
      <c r="AT72" s="7"/>
      <c r="AU72" s="7"/>
      <c r="AV72" s="7"/>
      <c r="AW72" s="7"/>
      <c r="AX72" s="7"/>
      <c r="AY72" s="7"/>
      <c r="AZ72" s="7"/>
      <c r="BA72" s="7"/>
      <c r="BB72" s="7"/>
      <c r="BC72" s="7"/>
      <c r="BD72" s="7"/>
      <c r="BE72" s="7"/>
      <c r="BF72" s="7"/>
      <c r="BG72" s="100"/>
    </row>
    <row r="73" spans="4:59" x14ac:dyDescent="0.25">
      <c r="D73" s="719">
        <f>SUMPRODUCT($D$69:$G$69,$R$35:$U$35)</f>
        <v>0.17929265249822182</v>
      </c>
      <c r="E73" s="721">
        <f>SUMPRODUCT(D$69:G$69,$Y58:$AB58)</f>
        <v>3.5917219468350545</v>
      </c>
      <c r="G73" s="722">
        <f>(E73-D73)/D73</f>
        <v>19.032733616179147</v>
      </c>
      <c r="J73" s="719">
        <f>SUMPRODUCT($J$69:$M$69,$R$37:$U$37)</f>
        <v>10.794037588872058</v>
      </c>
      <c r="K73" s="721">
        <f>SUMPRODUCT(J$69:M$69,$Y58:$AB58)</f>
        <v>5.8331779626279063</v>
      </c>
      <c r="L73" s="33"/>
      <c r="M73" s="722">
        <f>(K73-J73)/J73</f>
        <v>-0.45959258390562502</v>
      </c>
      <c r="O73" s="719">
        <f>SUMPRODUCT($O$69:$R$69,$R$39:$U$39)</f>
        <v>1.5</v>
      </c>
      <c r="P73" s="721">
        <f>SUMPRODUCT(O$69:R$69,$Y58:$AB58)</f>
        <v>2.1388888888888893</v>
      </c>
      <c r="Q73"/>
      <c r="R73" s="722">
        <f>(P73-O73)/O73</f>
        <v>0.42592592592592621</v>
      </c>
      <c r="T73" s="719">
        <f>SUMPRODUCT($T$69:$W$69,$R$41:$U$41)</f>
        <v>1.5</v>
      </c>
      <c r="U73" s="721">
        <f>SUMPRODUCT(T$69:W$69,$Y58:$AB58)</f>
        <v>0.86111111111111116</v>
      </c>
      <c r="V73"/>
      <c r="W73" s="722">
        <f>(U73-T73)/T73</f>
        <v>-0.42592592592592587</v>
      </c>
      <c r="AE73" s="648"/>
      <c r="AF73" s="189" t="s">
        <v>448</v>
      </c>
      <c r="AG73" s="720">
        <v>100</v>
      </c>
      <c r="AH73" s="253">
        <f>SUMPRODUCT(AL83:AO83,$AH$64:$AK$64)</f>
        <v>0.74955918262361609</v>
      </c>
      <c r="AI73" s="253">
        <f>AH73-$AH$66</f>
        <v>-1.200123362148507</v>
      </c>
      <c r="AJ73" s="930">
        <v>0.05</v>
      </c>
      <c r="AK73" s="931"/>
      <c r="AL73" s="930">
        <v>0.18</v>
      </c>
      <c r="AM73" s="931"/>
      <c r="AN73" s="7"/>
      <c r="AO73" s="7"/>
      <c r="AP73" s="7"/>
      <c r="AQ73" s="7"/>
      <c r="AR73" s="7"/>
      <c r="AS73" s="7"/>
      <c r="AT73" s="7"/>
      <c r="AU73" s="7"/>
      <c r="AV73" s="7"/>
      <c r="AW73" s="7"/>
      <c r="AX73" s="7"/>
      <c r="AY73" s="7"/>
      <c r="AZ73" s="7"/>
      <c r="BA73" s="7"/>
      <c r="BB73" s="7"/>
      <c r="BC73" s="7"/>
      <c r="BD73" s="7"/>
      <c r="BE73" s="7"/>
      <c r="BF73" s="7"/>
      <c r="BG73" s="100"/>
    </row>
    <row r="74" spans="4:59" x14ac:dyDescent="0.25">
      <c r="D74" s="719">
        <f>SUMPRODUCT($D$69:$G$69,$R$35:$U$35)</f>
        <v>0.17929265249822182</v>
      </c>
      <c r="E74" s="721">
        <f>SUMPRODUCT(D$69:G$69,$Y59:$AB59)</f>
        <v>2.5551043284680994</v>
      </c>
      <c r="G74" s="722">
        <f>(E74-D74)/D74</f>
        <v>13.25102642448463</v>
      </c>
      <c r="J74" s="719">
        <f>SUMPRODUCT($J$69:$M$69,$R$37:$U$37)</f>
        <v>10.794037588872058</v>
      </c>
      <c r="K74" s="721">
        <f>SUMPRODUCT(J$69:M$69,$Y59:$AB59)</f>
        <v>7.7655091056800991</v>
      </c>
      <c r="L74" s="33"/>
      <c r="M74" s="722">
        <f>(K74-J74)/J74</f>
        <v>-0.28057420203114469</v>
      </c>
      <c r="O74" s="719">
        <f>SUMPRODUCT($O$69:$R$69,$R$39:$U$39)</f>
        <v>1.5</v>
      </c>
      <c r="P74" s="721">
        <f>SUMPRODUCT(O$69:R$69,$Y59:$AB59)</f>
        <v>1.8214285714285716</v>
      </c>
      <c r="Q74"/>
      <c r="R74" s="722">
        <f>(P74-O74)/O74</f>
        <v>0.21428571428571441</v>
      </c>
      <c r="T74" s="719">
        <f>SUMPRODUCT($T$69:$W$69,$R$41:$U$41)</f>
        <v>1.5</v>
      </c>
      <c r="U74" s="721">
        <f>SUMPRODUCT(T$69:W$69,$Y59:$AB59)</f>
        <v>1.1785714285714286</v>
      </c>
      <c r="V74"/>
      <c r="W74" s="722">
        <f>(U74-T74)/T74</f>
        <v>-0.21428571428571427</v>
      </c>
      <c r="AE74" s="648"/>
      <c r="AF74" s="189" t="s">
        <v>439</v>
      </c>
      <c r="AG74" s="720">
        <v>123</v>
      </c>
      <c r="AH74" s="253">
        <f>SUMPRODUCT(AL88:AO88,$AH$64:$AK$64)</f>
        <v>1.350261370292803</v>
      </c>
      <c r="AI74" s="253">
        <f>AH74-$AH$66</f>
        <v>-0.59942117447932008</v>
      </c>
      <c r="AJ74" s="930">
        <v>0.1</v>
      </c>
      <c r="AK74" s="764"/>
      <c r="AL74" s="930">
        <v>0.19</v>
      </c>
      <c r="AM74" s="764"/>
      <c r="AN74" s="7"/>
      <c r="AO74" s="7"/>
      <c r="AP74" s="7"/>
      <c r="AQ74" s="7"/>
      <c r="AR74" s="7"/>
      <c r="AS74" s="7"/>
      <c r="AT74" s="7"/>
      <c r="AU74" s="7"/>
      <c r="AV74" s="7"/>
      <c r="AW74" s="7"/>
      <c r="AX74" s="7"/>
      <c r="AY74" s="7"/>
      <c r="AZ74" s="7"/>
      <c r="BA74" s="7"/>
      <c r="BB74" s="7"/>
      <c r="BC74" s="7"/>
      <c r="BD74" s="7"/>
      <c r="BE74" s="7"/>
      <c r="BF74" s="7"/>
      <c r="BG74" s="100"/>
    </row>
    <row r="75" spans="4:59" x14ac:dyDescent="0.25">
      <c r="D75" s="719">
        <f>SUMPRODUCT($D$69:$G$69,$R$35:$U$35)</f>
        <v>0.17929265249822182</v>
      </c>
      <c r="E75" s="721">
        <f>SUMPRODUCT(D$69:G$69,$Y60:$AB60)</f>
        <v>1.2704605769483734</v>
      </c>
      <c r="G75" s="722">
        <f>(E75-D75)/D75</f>
        <v>6.0859600727975929</v>
      </c>
      <c r="J75" s="719">
        <f>SUMPRODUCT($J$69:$M$69,$R$37:$U$37)</f>
        <v>10.794037588872058</v>
      </c>
      <c r="K75" s="721">
        <f>SUMPRODUCT(J$69:M$69,$Y60:$AB60)</f>
        <v>11.23883476751214</v>
      </c>
      <c r="L75" s="33"/>
      <c r="M75" s="722">
        <f>(K75-J75)/J75</f>
        <v>4.1207673678905689E-2</v>
      </c>
      <c r="O75" s="719">
        <f>SUMPRODUCT($O$69:$R$69,$R$39:$U$39)</f>
        <v>1.5</v>
      </c>
      <c r="P75" s="721">
        <f>SUMPRODUCT(O$69:R$69,$Y60:$AB60)</f>
        <v>1.2857142857142856</v>
      </c>
      <c r="Q75"/>
      <c r="R75" s="722">
        <f>(P75-O75)/O75</f>
        <v>-0.14285714285714293</v>
      </c>
      <c r="T75" s="719">
        <f>SUMPRODUCT($T$69:$W$69,$R$41:$U$41)</f>
        <v>1.5</v>
      </c>
      <c r="U75" s="721">
        <f>SUMPRODUCT(T$69:W$69,$Y60:$AB60)</f>
        <v>1.7142857142857144</v>
      </c>
      <c r="V75"/>
      <c r="W75" s="722">
        <f>(U75-T75)/T75</f>
        <v>0.14285714285714293</v>
      </c>
      <c r="AE75" s="648"/>
      <c r="AF75" s="647" t="s">
        <v>438</v>
      </c>
      <c r="AG75" s="720">
        <v>125</v>
      </c>
      <c r="AH75" s="253">
        <f>SUMPRODUCT(AL93:AO93,$AH$64:$AK$64)</f>
        <v>1.4083523104409825</v>
      </c>
      <c r="AI75" s="253">
        <f>AH75-$AH$66</f>
        <v>-0.54133023433114058</v>
      </c>
      <c r="AJ75" s="930">
        <v>0.7</v>
      </c>
      <c r="AK75" s="926"/>
      <c r="AL75" s="930">
        <v>0.26</v>
      </c>
      <c r="AM75" s="926"/>
      <c r="AN75" s="7"/>
      <c r="AO75" s="7"/>
      <c r="AP75" s="7"/>
      <c r="AQ75" s="7"/>
      <c r="AR75" s="7"/>
      <c r="AS75" s="7"/>
      <c r="AT75" s="7"/>
      <c r="AU75" s="7"/>
      <c r="AV75" s="7"/>
      <c r="AW75" s="7"/>
      <c r="AX75" s="7"/>
      <c r="AY75" s="7"/>
      <c r="AZ75" s="7"/>
      <c r="BA75" s="7"/>
      <c r="BB75" s="7"/>
      <c r="BC75" s="7"/>
      <c r="BD75" s="7"/>
      <c r="BE75" s="7"/>
      <c r="BF75" s="7"/>
      <c r="BG75" s="100"/>
    </row>
    <row r="76" spans="4:59" x14ac:dyDescent="0.25">
      <c r="D76" s="719">
        <f>SUMPRODUCT($D$69:$G$69,$R$35:$U$35)</f>
        <v>0.17929265249822182</v>
      </c>
      <c r="E76" s="721">
        <f>SUMPRODUCT(D$69:G$69,$Y61:$AB61)</f>
        <v>6.9541657386630207E-2</v>
      </c>
      <c r="G76" s="722">
        <f>(E76-D76)/D76</f>
        <v>-0.61213325578235889</v>
      </c>
      <c r="J76" s="719">
        <f>SUMPRODUCT($J$69:$M$69,$R$37:$U$37)</f>
        <v>10.794037588872058</v>
      </c>
      <c r="K76" s="721">
        <f>SUMPRODUCT(J$69:M$69,$Y61:$AB61)</f>
        <v>18.693168619030487</v>
      </c>
      <c r="L76" s="33"/>
      <c r="M76" s="722">
        <f>(K76-J76)/J76</f>
        <v>0.73180503265079544</v>
      </c>
      <c r="O76" s="719">
        <f>SUMPRODUCT($O$69:$R$69,$R$39:$U$39)</f>
        <v>1.5</v>
      </c>
      <c r="P76" s="721">
        <f>SUMPRODUCT(O$69:R$69,$Y61:$AB61)</f>
        <v>0.23412698412698407</v>
      </c>
      <c r="Q76"/>
      <c r="R76" s="722">
        <f>(P76-O76)/O76</f>
        <v>-0.84391534391534384</v>
      </c>
      <c r="T76" s="719">
        <f>SUMPRODUCT($T$69:$W$69,$R$41:$U$41)</f>
        <v>1.5</v>
      </c>
      <c r="U76" s="721">
        <f>SUMPRODUCT(T$69:W$69,$Y61:$AB61)</f>
        <v>2.7658730158730158</v>
      </c>
      <c r="V76"/>
      <c r="W76" s="722">
        <f>(U76-T76)/T76</f>
        <v>0.84391534391534384</v>
      </c>
      <c r="AE76" s="648"/>
      <c r="AF76" s="647" t="s">
        <v>437</v>
      </c>
      <c r="AG76" s="720">
        <v>127</v>
      </c>
      <c r="AH76" s="253">
        <f>SUMPRODUCT(AL98:AO98,$AH$64:$AK$64)</f>
        <v>1.4673802059888037</v>
      </c>
      <c r="AI76" s="253">
        <f>AH76-$AH$66</f>
        <v>-0.48230233878331941</v>
      </c>
      <c r="AJ76" s="930">
        <v>0.1</v>
      </c>
      <c r="AK76" s="926"/>
      <c r="AL76" s="930">
        <v>0.19</v>
      </c>
      <c r="AM76" s="926"/>
      <c r="AN76" s="7"/>
      <c r="AO76" s="7"/>
      <c r="AP76" s="7"/>
      <c r="AQ76" s="7"/>
      <c r="AR76" s="7"/>
      <c r="AS76" s="7"/>
      <c r="AT76" s="7"/>
      <c r="AU76" s="7"/>
      <c r="AV76" s="7"/>
      <c r="AW76" s="7"/>
      <c r="AX76" s="7"/>
      <c r="AY76" s="7"/>
      <c r="AZ76" s="7"/>
      <c r="BA76" s="7"/>
      <c r="BB76" s="7"/>
      <c r="BC76" s="7"/>
      <c r="BD76" s="7"/>
      <c r="BE76" s="7"/>
      <c r="BF76" s="7"/>
      <c r="BG76" s="100"/>
    </row>
    <row r="77" spans="4:59" ht="15.75" thickBot="1" x14ac:dyDescent="0.3">
      <c r="M77" s="110"/>
      <c r="N77" s="719"/>
      <c r="O77" s="719"/>
      <c r="P77" s="719"/>
      <c r="Q77" s="719"/>
      <c r="AE77" s="648"/>
      <c r="AF77" s="189" t="s">
        <v>441</v>
      </c>
      <c r="AG77" s="720">
        <v>150</v>
      </c>
      <c r="AH77" s="253">
        <f>SUMPRODUCT(AL103:AO103,$AH$64:$AK$64)</f>
        <v>2.2135447194523996</v>
      </c>
      <c r="AI77" s="253">
        <f>AH77-$AH$66</f>
        <v>0.26386217468027651</v>
      </c>
      <c r="AJ77" s="932">
        <v>0.05</v>
      </c>
      <c r="AK77" s="931"/>
      <c r="AL77" s="932">
        <v>0.18</v>
      </c>
      <c r="AM77" s="931"/>
      <c r="AN77" s="7"/>
      <c r="AO77" s="7"/>
      <c r="AP77" s="7"/>
      <c r="AQ77" s="7"/>
      <c r="AR77" s="7"/>
      <c r="AS77" s="7"/>
      <c r="AT77" s="7"/>
      <c r="AU77" s="7"/>
      <c r="AV77" s="7"/>
      <c r="AW77" s="7"/>
      <c r="AX77" s="7"/>
      <c r="AY77" s="7"/>
      <c r="AZ77" s="7"/>
      <c r="BA77" s="7"/>
      <c r="BB77" s="7"/>
      <c r="BC77" s="7"/>
      <c r="BD77" s="7"/>
      <c r="BE77" s="7"/>
      <c r="BF77" s="7"/>
      <c r="BG77" s="100"/>
    </row>
    <row r="78" spans="4:59" ht="16.5" thickTop="1" thickBot="1" x14ac:dyDescent="0.3">
      <c r="AE78" s="648"/>
      <c r="AF78" s="17"/>
      <c r="AG78" s="7"/>
      <c r="AH78" s="897"/>
      <c r="AI78" s="897"/>
      <c r="AJ78" s="806">
        <f>SUM(AJ73:AJ77)</f>
        <v>1</v>
      </c>
      <c r="AK78" s="927">
        <f>SUMPRODUCT($AI$73:$AI$77,AJ73:AJ77)</f>
        <v>-0.53391657473147391</v>
      </c>
      <c r="AL78" s="806">
        <f>SUM(AL73:AL77)</f>
        <v>1</v>
      </c>
      <c r="AM78" s="927">
        <f>SUMPRODUCT($AI$73:$AI$77,AL73:AL77)</f>
        <v>-0.51480034219027959</v>
      </c>
      <c r="AN78" s="7"/>
      <c r="AO78" s="7" t="s">
        <v>451</v>
      </c>
      <c r="AP78" s="7"/>
      <c r="AQ78" s="7"/>
      <c r="AR78" s="7"/>
      <c r="AS78" s="7"/>
      <c r="AT78" s="7"/>
      <c r="AU78" s="7"/>
      <c r="AV78" s="7"/>
      <c r="AW78" s="7"/>
      <c r="AX78" s="7"/>
      <c r="AY78" s="7"/>
      <c r="AZ78" s="7"/>
      <c r="BA78" s="7"/>
      <c r="BB78" s="7"/>
      <c r="BC78" s="7"/>
      <c r="BD78" s="7"/>
      <c r="BE78" s="7"/>
      <c r="BF78" s="7"/>
      <c r="BG78" s="100"/>
    </row>
    <row r="79" spans="4:59" x14ac:dyDescent="0.25">
      <c r="L79" s="8"/>
      <c r="M79" s="8"/>
      <c r="N79" s="84" t="s">
        <v>273</v>
      </c>
      <c r="O79" s="84" t="s">
        <v>274</v>
      </c>
      <c r="P79" s="143" t="s">
        <v>275</v>
      </c>
      <c r="Q79" s="719" t="s">
        <v>276</v>
      </c>
      <c r="R79" s="143" t="s">
        <v>277</v>
      </c>
      <c r="S79" s="140"/>
      <c r="T79" s="140"/>
      <c r="U79" s="140"/>
      <c r="V79" s="140"/>
      <c r="AE79" s="648"/>
      <c r="AF79" s="17"/>
      <c r="AG79" s="7"/>
      <c r="AH79" s="7"/>
      <c r="AI79" s="7"/>
      <c r="AJ79" s="7"/>
      <c r="AK79" s="7"/>
      <c r="AL79" s="7"/>
      <c r="AM79" s="7"/>
      <c r="AN79" s="7"/>
      <c r="AO79" s="7" t="s">
        <v>452</v>
      </c>
      <c r="AP79" s="7"/>
      <c r="AQ79" s="7"/>
      <c r="AR79" s="7"/>
      <c r="AS79" s="7"/>
      <c r="AT79" s="7"/>
      <c r="AU79" s="7"/>
      <c r="AV79" s="7"/>
      <c r="AW79" s="7"/>
      <c r="AX79" s="7"/>
      <c r="AY79" s="7"/>
      <c r="AZ79" s="7"/>
      <c r="BA79" s="7"/>
      <c r="BB79" s="7"/>
      <c r="BC79" s="7"/>
      <c r="BD79" s="7"/>
      <c r="BE79" s="7"/>
      <c r="BF79" s="7"/>
      <c r="BG79" s="100"/>
    </row>
    <row r="80" spans="4:59" x14ac:dyDescent="0.25">
      <c r="J80" s="459"/>
      <c r="K80" s="721"/>
      <c r="L80" s="478"/>
      <c r="M80" s="8"/>
      <c r="N80" s="723">
        <f>N48</f>
        <v>65</v>
      </c>
      <c r="O80" s="724"/>
      <c r="P80" s="725">
        <f>M72</f>
        <v>-0.84244720133307038</v>
      </c>
      <c r="Q80" s="725">
        <f>R72</f>
        <v>0.93386243386243384</v>
      </c>
      <c r="R80" s="725">
        <f>W72</f>
        <v>-0.93386243386243384</v>
      </c>
      <c r="S80" s="143"/>
      <c r="T80" s="143"/>
      <c r="U80" s="143"/>
      <c r="V80" s="140"/>
      <c r="AE80" s="648"/>
      <c r="AF80" s="17"/>
      <c r="AG80" s="7"/>
      <c r="AH80" s="7"/>
      <c r="AI80" s="7"/>
      <c r="AJ80" s="7"/>
      <c r="AK80" s="7" t="s">
        <v>449</v>
      </c>
      <c r="AL80" s="934">
        <f>AM78-AK78</f>
        <v>1.9116232541194322E-2</v>
      </c>
      <c r="AM80" s="7"/>
      <c r="AN80" s="7"/>
      <c r="AO80" s="7" t="s">
        <v>453</v>
      </c>
      <c r="AP80" s="7"/>
      <c r="AQ80" s="7"/>
      <c r="AR80" s="7"/>
      <c r="AS80" s="7"/>
      <c r="AT80" s="7"/>
      <c r="AU80" s="7"/>
      <c r="AV80" s="7"/>
      <c r="AW80" s="7"/>
      <c r="AX80" s="7"/>
      <c r="AY80" s="7"/>
      <c r="AZ80" s="7"/>
      <c r="BA80" s="7"/>
      <c r="BB80" s="7"/>
      <c r="BC80" s="7"/>
      <c r="BD80" s="7"/>
      <c r="BE80" s="7"/>
      <c r="BF80" s="7"/>
      <c r="BG80" s="100"/>
    </row>
    <row r="81" spans="5:59" x14ac:dyDescent="0.25">
      <c r="J81" s="459"/>
      <c r="K81" s="721"/>
      <c r="L81" s="478"/>
      <c r="M81" s="142"/>
      <c r="N81" s="723">
        <f>N52</f>
        <v>95</v>
      </c>
      <c r="O81" s="724"/>
      <c r="P81" s="725">
        <f>M73</f>
        <v>-0.45959258390562502</v>
      </c>
      <c r="Q81" s="725">
        <f>R73</f>
        <v>0.42592592592592621</v>
      </c>
      <c r="R81" s="725">
        <f>W73</f>
        <v>-0.42592592592592587</v>
      </c>
      <c r="S81" s="620"/>
      <c r="T81" s="620"/>
      <c r="U81" s="620"/>
      <c r="V81" s="140"/>
      <c r="AE81" s="648"/>
      <c r="AF81" s="17" t="s">
        <v>439</v>
      </c>
      <c r="AG81" s="7"/>
      <c r="AH81" s="7"/>
      <c r="AI81" s="7"/>
      <c r="AJ81" s="7"/>
      <c r="AK81" s="7" t="s">
        <v>450</v>
      </c>
      <c r="AL81" s="608">
        <f>AL80/AH66</f>
        <v>9.8047923711747694E-3</v>
      </c>
      <c r="AM81" s="7"/>
      <c r="AN81" s="7"/>
      <c r="AO81" s="7"/>
      <c r="AP81" s="7"/>
      <c r="AQ81" s="7"/>
      <c r="AR81" s="7"/>
      <c r="AS81" s="7"/>
      <c r="AT81" s="7"/>
      <c r="AU81" s="7"/>
      <c r="AV81" s="7"/>
      <c r="AW81" s="7"/>
      <c r="AX81" s="7"/>
      <c r="AY81" s="7"/>
      <c r="AZ81" s="7"/>
      <c r="BA81" s="7"/>
      <c r="BB81" s="7"/>
      <c r="BC81" s="7"/>
      <c r="BD81" s="7"/>
      <c r="BE81" s="7"/>
      <c r="BF81" s="7"/>
      <c r="BG81" s="100"/>
    </row>
    <row r="82" spans="5:59" ht="15.75" thickBot="1" x14ac:dyDescent="0.3">
      <c r="J82" s="459"/>
      <c r="K82" s="721"/>
      <c r="L82" s="478"/>
      <c r="M82" s="142"/>
      <c r="N82" s="723">
        <f>N56</f>
        <v>105</v>
      </c>
      <c r="O82" s="724"/>
      <c r="P82" s="725">
        <f>M74</f>
        <v>-0.28057420203114469</v>
      </c>
      <c r="Q82" s="725">
        <f>R74</f>
        <v>0.21428571428571441</v>
      </c>
      <c r="R82" s="725">
        <f>W74</f>
        <v>-0.21428571428571427</v>
      </c>
      <c r="S82" s="620"/>
      <c r="T82" s="620"/>
      <c r="U82" s="620"/>
      <c r="V82" s="140"/>
      <c r="AE82" s="648"/>
      <c r="AF82" s="1"/>
      <c r="AG82" s="150"/>
      <c r="AH82" s="150" t="s">
        <v>170</v>
      </c>
      <c r="AI82" s="287" t="s">
        <v>150</v>
      </c>
      <c r="AJ82" s="237" t="s">
        <v>167</v>
      </c>
      <c r="AK82" s="17"/>
      <c r="AL82" s="17"/>
      <c r="AM82" s="278"/>
      <c r="AN82" s="17"/>
      <c r="AO82" s="278"/>
      <c r="AP82" s="7"/>
      <c r="AQ82" s="7"/>
      <c r="AR82" s="7"/>
      <c r="AS82" s="7"/>
      <c r="AT82" s="7"/>
      <c r="AU82" s="7"/>
      <c r="AV82" s="7"/>
      <c r="AW82" s="7"/>
      <c r="AX82" s="7"/>
      <c r="AY82" s="7"/>
      <c r="AZ82" s="7"/>
      <c r="BA82" s="7"/>
      <c r="BB82" s="7"/>
      <c r="BC82" s="7"/>
      <c r="BD82" s="7"/>
      <c r="BE82" s="7"/>
      <c r="BF82" s="7"/>
      <c r="BG82" s="100"/>
    </row>
    <row r="83" spans="5:59" ht="15.75" thickBot="1" x14ac:dyDescent="0.3">
      <c r="E83" t="s">
        <v>278</v>
      </c>
      <c r="J83" s="459"/>
      <c r="K83" s="721"/>
      <c r="L83" s="478"/>
      <c r="M83" s="142"/>
      <c r="N83" s="723">
        <f>N60</f>
        <v>120</v>
      </c>
      <c r="O83" s="724">
        <f>G75</f>
        <v>6.0859600727975929</v>
      </c>
      <c r="P83" s="725">
        <f>M75</f>
        <v>4.1207673678905689E-2</v>
      </c>
      <c r="Q83" s="725">
        <f>R75</f>
        <v>-0.14285714285714293</v>
      </c>
      <c r="R83" s="725">
        <f>W75</f>
        <v>0.14285714285714293</v>
      </c>
      <c r="S83" s="378"/>
      <c r="T83" s="378"/>
      <c r="U83" s="378"/>
      <c r="V83" s="140"/>
      <c r="AE83" s="648"/>
      <c r="AF83" s="5"/>
      <c r="AG83" s="21" t="s">
        <v>168</v>
      </c>
      <c r="AH83" s="425">
        <f>AG73</f>
        <v>100</v>
      </c>
      <c r="AI83" s="464">
        <f>(AH83-$O$6)/$O$8</f>
        <v>0.44444444444444442</v>
      </c>
      <c r="AJ83" s="465">
        <f>1-AI83</f>
        <v>0.55555555555555558</v>
      </c>
      <c r="AK83" s="260"/>
      <c r="AL83" s="466">
        <f>AJ83*AJ84</f>
        <v>0.36743092298647856</v>
      </c>
      <c r="AM83" s="467">
        <f>AI84*AJ83</f>
        <v>0.18812463256907702</v>
      </c>
      <c r="AN83" s="467">
        <f>AI83*AJ84</f>
        <v>0.29394473838918284</v>
      </c>
      <c r="AO83" s="468">
        <f>AI83*AI84</f>
        <v>0.15049970605526158</v>
      </c>
      <c r="AP83" s="7"/>
      <c r="AQ83" s="7"/>
      <c r="AR83" s="7"/>
      <c r="AS83" s="7"/>
      <c r="AT83" s="7"/>
      <c r="AU83" s="7"/>
      <c r="AV83" s="7"/>
      <c r="AW83" s="7"/>
      <c r="AX83" s="7"/>
      <c r="AY83" s="7"/>
      <c r="AZ83" s="7"/>
      <c r="BA83" s="7"/>
      <c r="BB83" s="7"/>
      <c r="BC83" s="7"/>
      <c r="BD83" s="7"/>
      <c r="BE83" s="7"/>
      <c r="BF83" s="7"/>
      <c r="BG83" s="100"/>
    </row>
    <row r="84" spans="5:59" x14ac:dyDescent="0.25">
      <c r="J84" s="459"/>
      <c r="K84" s="721"/>
      <c r="L84" s="478"/>
      <c r="M84" s="8"/>
      <c r="N84" s="723">
        <f>N64</f>
        <v>145</v>
      </c>
      <c r="O84" s="724">
        <f>G76</f>
        <v>-0.61213325578235889</v>
      </c>
      <c r="P84" s="725">
        <f>M76</f>
        <v>0.73180503265079544</v>
      </c>
      <c r="Q84" s="725">
        <f>R76</f>
        <v>-0.84391534391534384</v>
      </c>
      <c r="R84" s="725">
        <f>W76</f>
        <v>0.84391534391534384</v>
      </c>
      <c r="S84" s="140"/>
      <c r="T84" s="140"/>
      <c r="U84" s="140"/>
      <c r="V84" s="140"/>
      <c r="AE84" s="648"/>
      <c r="AF84" s="2"/>
      <c r="AG84" s="682" t="s">
        <v>267</v>
      </c>
      <c r="AH84" s="702">
        <f>AH83^2</f>
        <v>10000</v>
      </c>
      <c r="AI84" s="429">
        <f>(AH84-$O$14)/$O$16</f>
        <v>0.33862433862433861</v>
      </c>
      <c r="AJ84" s="430">
        <f>1-AI84</f>
        <v>0.66137566137566139</v>
      </c>
      <c r="AK84" s="17"/>
      <c r="AL84" s="17"/>
      <c r="AM84" s="17"/>
      <c r="AN84" s="17"/>
      <c r="AO84" s="17"/>
      <c r="AP84" s="7"/>
      <c r="AQ84" s="7"/>
      <c r="AR84" s="7"/>
      <c r="AS84" s="7"/>
      <c r="AT84" s="7"/>
      <c r="AU84" s="7"/>
      <c r="AV84" s="7"/>
      <c r="AW84" s="7"/>
      <c r="AX84" s="7"/>
      <c r="AY84" s="7"/>
      <c r="AZ84" s="7"/>
      <c r="BA84" s="7"/>
      <c r="BB84" s="7"/>
      <c r="BC84" s="7"/>
      <c r="BD84" s="7"/>
      <c r="BE84" s="7"/>
      <c r="BF84" s="7"/>
      <c r="BG84" s="100"/>
    </row>
    <row r="85" spans="5:59" x14ac:dyDescent="0.25">
      <c r="E85" t="s">
        <v>279</v>
      </c>
      <c r="L85" s="8"/>
      <c r="M85" s="8"/>
      <c r="N85" s="140"/>
      <c r="O85" s="140"/>
      <c r="P85" s="140"/>
      <c r="Q85" s="378"/>
      <c r="R85" s="140"/>
      <c r="S85" s="140"/>
      <c r="T85" s="140"/>
      <c r="U85" s="140"/>
      <c r="V85" s="140"/>
      <c r="AE85" s="648"/>
      <c r="AF85" s="1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100"/>
    </row>
    <row r="86" spans="5:59" x14ac:dyDescent="0.25">
      <c r="L86" s="8"/>
      <c r="M86" s="8"/>
      <c r="N86" s="140"/>
      <c r="O86" s="140"/>
      <c r="P86" s="140"/>
      <c r="Q86" s="140"/>
      <c r="R86" s="140"/>
      <c r="S86" s="140"/>
      <c r="T86" s="140"/>
      <c r="U86" s="140"/>
      <c r="V86" s="140"/>
      <c r="AE86" s="648"/>
      <c r="AF86" s="647" t="s">
        <v>438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100"/>
    </row>
    <row r="87" spans="5:59" ht="15.75" thickBot="1" x14ac:dyDescent="0.3">
      <c r="L87" s="8"/>
      <c r="M87" s="8"/>
      <c r="N87" s="140"/>
      <c r="O87" s="140"/>
      <c r="P87" s="140"/>
      <c r="Q87" s="140"/>
      <c r="R87" s="140"/>
      <c r="S87" s="140"/>
      <c r="T87" s="140"/>
      <c r="U87" s="140"/>
      <c r="V87" s="140"/>
      <c r="AE87" s="648"/>
      <c r="AF87" s="1"/>
      <c r="AG87" s="150"/>
      <c r="AH87" s="150" t="s">
        <v>170</v>
      </c>
      <c r="AI87" s="287" t="s">
        <v>150</v>
      </c>
      <c r="AJ87" s="237" t="s">
        <v>167</v>
      </c>
      <c r="AK87" s="17"/>
      <c r="AL87" s="17"/>
      <c r="AM87" s="278"/>
      <c r="AN87" s="17"/>
      <c r="AO87" s="278"/>
      <c r="AP87" s="7"/>
      <c r="AQ87" s="7"/>
      <c r="AR87" s="7"/>
      <c r="AS87" s="7"/>
      <c r="AT87" s="7"/>
      <c r="AU87" s="7"/>
      <c r="AV87" s="7"/>
      <c r="AW87" s="7"/>
      <c r="AX87" s="7"/>
      <c r="AY87" s="7"/>
      <c r="AZ87" s="7"/>
      <c r="BA87" s="7"/>
      <c r="BB87" s="7"/>
      <c r="BC87" s="7"/>
      <c r="BD87" s="7"/>
      <c r="BE87" s="7"/>
      <c r="BF87" s="7"/>
      <c r="BG87" s="100"/>
    </row>
    <row r="88" spans="5:59" ht="15.75" thickBot="1" x14ac:dyDescent="0.3">
      <c r="L88" s="8"/>
      <c r="M88" s="8"/>
      <c r="N88" s="140"/>
      <c r="O88" s="140"/>
      <c r="P88" s="140"/>
      <c r="Q88" s="140"/>
      <c r="R88" s="140"/>
      <c r="S88" s="140"/>
      <c r="T88" s="140"/>
      <c r="U88" s="140"/>
      <c r="V88" s="140"/>
      <c r="AE88" s="648"/>
      <c r="AF88" s="5"/>
      <c r="AG88" s="21" t="s">
        <v>168</v>
      </c>
      <c r="AH88" s="425">
        <f>AG74</f>
        <v>123</v>
      </c>
      <c r="AI88" s="464">
        <f>(AH88-$O$6)/$O$8</f>
        <v>0.7</v>
      </c>
      <c r="AJ88" s="465">
        <f>1-AI88</f>
        <v>0.30000000000000004</v>
      </c>
      <c r="AK88" s="260"/>
      <c r="AL88" s="466">
        <f>AJ88*AJ89</f>
        <v>0.11700000000000002</v>
      </c>
      <c r="AM88" s="467">
        <f>AI89*AJ88</f>
        <v>0.18300000000000002</v>
      </c>
      <c r="AN88" s="467">
        <f>AI88*AJ89</f>
        <v>0.27299999999999996</v>
      </c>
      <c r="AO88" s="468">
        <f>AI88*AI89</f>
        <v>0.42699999999999999</v>
      </c>
      <c r="AP88" s="7"/>
      <c r="AQ88" s="7"/>
      <c r="AR88" s="7"/>
      <c r="AS88" s="7"/>
      <c r="AT88" s="7"/>
      <c r="AU88" s="7"/>
      <c r="AV88" s="7"/>
      <c r="AW88" s="7"/>
      <c r="AX88" s="7"/>
      <c r="AY88" s="7"/>
      <c r="AZ88" s="7"/>
      <c r="BA88" s="7"/>
      <c r="BB88" s="7"/>
      <c r="BC88" s="7"/>
      <c r="BD88" s="7"/>
      <c r="BE88" s="7"/>
      <c r="BF88" s="7"/>
      <c r="BG88" s="100"/>
    </row>
    <row r="89" spans="5:59" x14ac:dyDescent="0.25">
      <c r="L89" s="8"/>
      <c r="M89" s="8"/>
      <c r="N89" s="140"/>
      <c r="O89" s="140"/>
      <c r="P89" s="140"/>
      <c r="Q89" s="140"/>
      <c r="R89" s="140"/>
      <c r="S89" s="140"/>
      <c r="T89" s="140"/>
      <c r="U89" s="140"/>
      <c r="V89" s="140"/>
      <c r="AE89" s="648"/>
      <c r="AF89" s="2"/>
      <c r="AG89" s="682" t="s">
        <v>267</v>
      </c>
      <c r="AH89" s="702">
        <f>AH88^2</f>
        <v>15129</v>
      </c>
      <c r="AI89" s="429">
        <f>(AH89-$O$14)/$O$16</f>
        <v>0.61</v>
      </c>
      <c r="AJ89" s="430">
        <f>1-AI89</f>
        <v>0.39</v>
      </c>
      <c r="AK89" s="17"/>
      <c r="AL89" s="17"/>
      <c r="AM89" s="17"/>
      <c r="AN89" s="17"/>
      <c r="AO89" s="17"/>
      <c r="AP89" s="7"/>
      <c r="AQ89" s="7"/>
      <c r="AR89" s="7"/>
      <c r="AS89" s="7"/>
      <c r="AT89" s="7"/>
      <c r="AU89" s="7"/>
      <c r="AV89" s="7"/>
      <c r="AW89" s="7"/>
      <c r="AX89" s="7"/>
      <c r="AY89" s="7"/>
      <c r="AZ89" s="7"/>
      <c r="BA89" s="7"/>
      <c r="BB89" s="7"/>
      <c r="BC89" s="7"/>
      <c r="BD89" s="7"/>
      <c r="BE89" s="7"/>
      <c r="BF89" s="7"/>
      <c r="BG89" s="100"/>
    </row>
    <row r="90" spans="5:59" x14ac:dyDescent="0.25">
      <c r="L90" s="8"/>
      <c r="M90" s="8"/>
      <c r="N90" s="140"/>
      <c r="O90" s="140"/>
      <c r="P90" s="140"/>
      <c r="Q90" s="140"/>
      <c r="R90" s="140"/>
      <c r="S90" s="140"/>
      <c r="T90" s="140"/>
      <c r="U90" s="140"/>
      <c r="V90" s="140"/>
      <c r="AE90" s="648"/>
      <c r="AF90" s="1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100"/>
    </row>
    <row r="91" spans="5:59" x14ac:dyDescent="0.25">
      <c r="L91" s="8"/>
      <c r="M91" s="8"/>
      <c r="N91" s="140"/>
      <c r="O91" s="140"/>
      <c r="P91" s="140"/>
      <c r="Q91" s="140"/>
      <c r="R91" s="140"/>
      <c r="S91" s="140"/>
      <c r="T91" s="140"/>
      <c r="U91" s="140"/>
      <c r="V91" s="140"/>
      <c r="AE91" s="648"/>
      <c r="AF91" s="189" t="s">
        <v>437</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100"/>
    </row>
    <row r="92" spans="5:59" ht="15.75" thickBot="1" x14ac:dyDescent="0.3">
      <c r="AE92" s="648"/>
      <c r="AF92" s="1"/>
      <c r="AG92" s="150"/>
      <c r="AH92" s="150" t="s">
        <v>170</v>
      </c>
      <c r="AI92" s="287" t="s">
        <v>150</v>
      </c>
      <c r="AJ92" s="237" t="s">
        <v>167</v>
      </c>
      <c r="AK92" s="17"/>
      <c r="AL92" s="17"/>
      <c r="AM92" s="278"/>
      <c r="AN92" s="17"/>
      <c r="AO92" s="278"/>
      <c r="AP92" s="7"/>
      <c r="AQ92" s="7"/>
      <c r="AR92" s="7"/>
      <c r="AS92" s="7"/>
      <c r="AT92" s="7"/>
      <c r="AU92" s="7"/>
      <c r="AV92" s="7"/>
      <c r="AW92" s="7"/>
      <c r="AX92" s="7"/>
      <c r="AY92" s="7"/>
      <c r="AZ92" s="7"/>
      <c r="BA92" s="7"/>
      <c r="BB92" s="7"/>
      <c r="BC92" s="7"/>
      <c r="BD92" s="7"/>
      <c r="BE92" s="7"/>
      <c r="BF92" s="7"/>
      <c r="BG92" s="100"/>
    </row>
    <row r="93" spans="5:59" ht="15.75" thickBot="1" x14ac:dyDescent="0.3">
      <c r="AE93" s="648"/>
      <c r="AF93" s="5"/>
      <c r="AG93" s="21" t="s">
        <v>168</v>
      </c>
      <c r="AH93" s="425">
        <f>AG75</f>
        <v>125</v>
      </c>
      <c r="AI93" s="464">
        <f>(AH93-$O$6)/$O$8</f>
        <v>0.72222222222222221</v>
      </c>
      <c r="AJ93" s="465">
        <f>1-AI93</f>
        <v>0.27777777777777779</v>
      </c>
      <c r="AK93" s="260"/>
      <c r="AL93" s="466">
        <f>AJ93*AJ94</f>
        <v>0.10104350382128159</v>
      </c>
      <c r="AM93" s="467">
        <f>AI94*AJ93</f>
        <v>0.17673427395649619</v>
      </c>
      <c r="AN93" s="467">
        <f>AI93*AJ94</f>
        <v>0.26271310993533215</v>
      </c>
      <c r="AO93" s="468">
        <f>AI93*AI94</f>
        <v>0.45950911228689006</v>
      </c>
      <c r="AP93" s="7"/>
      <c r="AQ93" s="7"/>
      <c r="AR93" s="7"/>
      <c r="AS93" s="7"/>
      <c r="AT93" s="7"/>
      <c r="AU93" s="7"/>
      <c r="AV93" s="7"/>
      <c r="AW93" s="7"/>
      <c r="AX93" s="7"/>
      <c r="AY93" s="7"/>
      <c r="AZ93" s="7"/>
      <c r="BA93" s="7"/>
      <c r="BB93" s="7"/>
      <c r="BC93" s="7"/>
      <c r="BD93" s="7"/>
      <c r="BE93" s="7"/>
      <c r="BF93" s="7"/>
      <c r="BG93" s="100"/>
    </row>
    <row r="94" spans="5:59" x14ac:dyDescent="0.25">
      <c r="AE94" s="648"/>
      <c r="AF94" s="2"/>
      <c r="AG94" s="682" t="s">
        <v>267</v>
      </c>
      <c r="AH94" s="702">
        <f>AH93^2</f>
        <v>15625</v>
      </c>
      <c r="AI94" s="429">
        <f>(AH94-$O$14)/$O$16</f>
        <v>0.63624338624338628</v>
      </c>
      <c r="AJ94" s="430">
        <f>1-AI94</f>
        <v>0.36375661375661372</v>
      </c>
      <c r="AK94" s="17"/>
      <c r="AL94" s="17"/>
      <c r="AM94" s="17"/>
      <c r="AN94" s="17"/>
      <c r="AO94" s="17"/>
      <c r="AP94" s="7"/>
      <c r="AQ94" s="7"/>
      <c r="AR94" s="7"/>
      <c r="AS94" s="7"/>
      <c r="AT94" s="7"/>
      <c r="AU94" s="7"/>
      <c r="AV94" s="7"/>
      <c r="AW94" s="7"/>
      <c r="AX94" s="7"/>
      <c r="AY94" s="7"/>
      <c r="AZ94" s="7"/>
      <c r="BA94" s="7"/>
      <c r="BB94" s="7"/>
      <c r="BC94" s="7"/>
      <c r="BD94" s="7"/>
      <c r="BE94" s="7"/>
      <c r="BF94" s="7"/>
      <c r="BG94" s="100"/>
    </row>
    <row r="95" spans="5:59" x14ac:dyDescent="0.25">
      <c r="AE95" s="648"/>
      <c r="AF95" s="1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100"/>
    </row>
    <row r="96" spans="5:59" x14ac:dyDescent="0.25">
      <c r="AE96" s="648"/>
      <c r="AF96" s="647" t="s">
        <v>440</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100"/>
    </row>
    <row r="97" spans="31:59" ht="15.75" thickBot="1" x14ac:dyDescent="0.3">
      <c r="AE97" s="648"/>
      <c r="AF97" s="1"/>
      <c r="AG97" s="150"/>
      <c r="AH97" s="150" t="s">
        <v>170</v>
      </c>
      <c r="AI97" s="287" t="s">
        <v>150</v>
      </c>
      <c r="AJ97" s="237" t="s">
        <v>167</v>
      </c>
      <c r="AK97" s="17"/>
      <c r="AL97" s="17"/>
      <c r="AM97" s="278"/>
      <c r="AN97" s="17"/>
      <c r="AO97" s="278"/>
      <c r="AP97" s="7"/>
      <c r="AQ97" s="7"/>
      <c r="AR97" s="7"/>
      <c r="AS97" s="7"/>
      <c r="AT97" s="7"/>
      <c r="AU97" s="7"/>
      <c r="AV97" s="7"/>
      <c r="AW97" s="7"/>
      <c r="AX97" s="7"/>
      <c r="AY97" s="7"/>
      <c r="AZ97" s="7"/>
      <c r="BA97" s="7"/>
      <c r="BB97" s="7"/>
      <c r="BC97" s="7"/>
      <c r="BD97" s="7"/>
      <c r="BE97" s="7"/>
      <c r="BF97" s="7"/>
      <c r="BG97" s="100"/>
    </row>
    <row r="98" spans="31:59" ht="15.75" thickBot="1" x14ac:dyDescent="0.3">
      <c r="AE98" s="648"/>
      <c r="AF98" s="5"/>
      <c r="AG98" s="21" t="s">
        <v>168</v>
      </c>
      <c r="AH98" s="425">
        <f>AG76</f>
        <v>127</v>
      </c>
      <c r="AI98" s="464">
        <f>(AH98-$O$6)/$O$8</f>
        <v>0.74444444444444446</v>
      </c>
      <c r="AJ98" s="465">
        <f>1-AI98</f>
        <v>0.25555555555555554</v>
      </c>
      <c r="AK98" s="260"/>
      <c r="AL98" s="466">
        <f>AJ98*AJ99</f>
        <v>8.6145208700764253E-2</v>
      </c>
      <c r="AM98" s="467">
        <f>AI99*AJ98</f>
        <v>0.16941034685479128</v>
      </c>
      <c r="AN98" s="467">
        <f>AI98*AJ99</f>
        <v>0.25094473838918285</v>
      </c>
      <c r="AO98" s="468">
        <f>AI98*AI99</f>
        <v>0.49349970605526161</v>
      </c>
      <c r="AP98" s="7"/>
      <c r="AQ98" s="7"/>
      <c r="AR98" s="7"/>
      <c r="AS98" s="7"/>
      <c r="AT98" s="7"/>
      <c r="AU98" s="7"/>
      <c r="AV98" s="7"/>
      <c r="AW98" s="7"/>
      <c r="AX98" s="7"/>
      <c r="AY98" s="7"/>
      <c r="AZ98" s="7"/>
      <c r="BA98" s="7"/>
      <c r="BB98" s="7"/>
      <c r="BC98" s="7"/>
      <c r="BD98" s="7"/>
      <c r="BE98" s="7"/>
      <c r="BF98" s="7"/>
      <c r="BG98" s="100"/>
    </row>
    <row r="99" spans="31:59" x14ac:dyDescent="0.25">
      <c r="AE99" s="648"/>
      <c r="AF99" s="2"/>
      <c r="AG99" s="682" t="s">
        <v>267</v>
      </c>
      <c r="AH99" s="702">
        <f>AH98^2</f>
        <v>16129</v>
      </c>
      <c r="AI99" s="429">
        <f>(AH99-$O$14)/$O$16</f>
        <v>0.66291005291005289</v>
      </c>
      <c r="AJ99" s="430">
        <f>1-AI99</f>
        <v>0.33708994708994711</v>
      </c>
      <c r="AK99" s="17"/>
      <c r="AL99" s="17"/>
      <c r="AM99" s="17"/>
      <c r="AN99" s="17"/>
      <c r="AO99" s="17"/>
      <c r="AP99" s="7"/>
      <c r="AQ99" s="7"/>
      <c r="AR99" s="7"/>
      <c r="AS99" s="7"/>
      <c r="AT99" s="7"/>
      <c r="AU99" s="7"/>
      <c r="AV99" s="7"/>
      <c r="AW99" s="7"/>
      <c r="AX99" s="7"/>
      <c r="AY99" s="7"/>
      <c r="AZ99" s="7"/>
      <c r="BA99" s="7"/>
      <c r="BB99" s="7"/>
      <c r="BC99" s="7"/>
      <c r="BD99" s="7"/>
      <c r="BE99" s="7"/>
      <c r="BF99" s="7"/>
      <c r="BG99" s="100"/>
    </row>
    <row r="100" spans="31:59" x14ac:dyDescent="0.25">
      <c r="AE100" s="648"/>
      <c r="AF100" s="1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100"/>
    </row>
    <row r="101" spans="31:59" x14ac:dyDescent="0.25">
      <c r="AE101" s="648"/>
      <c r="AF101" s="189" t="s">
        <v>441</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100"/>
    </row>
    <row r="102" spans="31:59" ht="15.75" thickBot="1" x14ac:dyDescent="0.3">
      <c r="AE102" s="648"/>
      <c r="AF102" s="1"/>
      <c r="AG102" s="150"/>
      <c r="AH102" s="150" t="s">
        <v>170</v>
      </c>
      <c r="AI102" s="287" t="s">
        <v>150</v>
      </c>
      <c r="AJ102" s="237" t="s">
        <v>167</v>
      </c>
      <c r="AK102" s="17"/>
      <c r="AL102" s="17"/>
      <c r="AM102" s="278"/>
      <c r="AN102" s="17"/>
      <c r="AO102" s="278"/>
      <c r="AP102" s="7"/>
      <c r="AQ102" s="7"/>
      <c r="AR102" s="7"/>
      <c r="AS102" s="7"/>
      <c r="AT102" s="7"/>
      <c r="AU102" s="7"/>
      <c r="AV102" s="7"/>
      <c r="AW102" s="7"/>
      <c r="AX102" s="7"/>
      <c r="AY102" s="7"/>
      <c r="AZ102" s="7"/>
      <c r="BA102" s="7"/>
      <c r="BB102" s="7"/>
      <c r="BC102" s="7"/>
      <c r="BD102" s="7"/>
      <c r="BE102" s="7"/>
      <c r="BF102" s="7"/>
      <c r="BG102" s="100"/>
    </row>
    <row r="103" spans="31:59" ht="15.75" thickBot="1" x14ac:dyDescent="0.3">
      <c r="AE103" s="648"/>
      <c r="AF103" s="5"/>
      <c r="AG103" s="21" t="s">
        <v>168</v>
      </c>
      <c r="AH103" s="425">
        <f>AG77</f>
        <v>150</v>
      </c>
      <c r="AI103" s="464">
        <f>(AH103-$O$6)/$O$8</f>
        <v>1</v>
      </c>
      <c r="AJ103" s="465">
        <f>1-AI103</f>
        <v>0</v>
      </c>
      <c r="AK103" s="260"/>
      <c r="AL103" s="466">
        <f>AJ103*AJ104</f>
        <v>0</v>
      </c>
      <c r="AM103" s="467">
        <f>AI104*AJ103</f>
        <v>0</v>
      </c>
      <c r="AN103" s="467">
        <f>AI103*AJ104</f>
        <v>0</v>
      </c>
      <c r="AO103" s="468">
        <f>AI103*AI104</f>
        <v>1</v>
      </c>
      <c r="AP103" s="7"/>
      <c r="AQ103" s="7"/>
      <c r="AR103" s="7"/>
      <c r="AS103" s="7"/>
      <c r="AT103" s="7"/>
      <c r="AU103" s="7"/>
      <c r="AV103" s="7"/>
      <c r="AW103" s="7"/>
      <c r="AX103" s="7"/>
      <c r="AY103" s="7"/>
      <c r="AZ103" s="7"/>
      <c r="BA103" s="7"/>
      <c r="BB103" s="7"/>
      <c r="BC103" s="7"/>
      <c r="BD103" s="7"/>
      <c r="BE103" s="7"/>
      <c r="BF103" s="7"/>
      <c r="BG103" s="100"/>
    </row>
    <row r="104" spans="31:59" x14ac:dyDescent="0.25">
      <c r="AE104" s="648"/>
      <c r="AF104" s="2"/>
      <c r="AG104" s="682" t="s">
        <v>267</v>
      </c>
      <c r="AH104" s="702">
        <f>AH103^2</f>
        <v>22500</v>
      </c>
      <c r="AI104" s="429">
        <f>(AH104-$O$14)/$O$16</f>
        <v>1</v>
      </c>
      <c r="AJ104" s="430">
        <f>1-AI104</f>
        <v>0</v>
      </c>
      <c r="AK104" s="17"/>
      <c r="AL104" s="17"/>
      <c r="AM104" s="17"/>
      <c r="AN104" s="17"/>
      <c r="AO104" s="17"/>
      <c r="AP104" s="7"/>
      <c r="AQ104" s="7"/>
      <c r="AR104" s="7"/>
      <c r="AS104" s="7"/>
      <c r="AT104" s="7"/>
      <c r="AU104" s="7"/>
      <c r="AV104" s="7"/>
      <c r="AW104" s="7"/>
      <c r="AX104" s="7"/>
      <c r="AY104" s="7"/>
      <c r="AZ104" s="7"/>
      <c r="BA104" s="7"/>
      <c r="BB104" s="7"/>
      <c r="BC104" s="7"/>
      <c r="BD104" s="7"/>
      <c r="BE104" s="7"/>
      <c r="BF104" s="7"/>
      <c r="BG104" s="100"/>
    </row>
    <row r="105" spans="31:59" x14ac:dyDescent="0.25">
      <c r="AE105" s="648"/>
      <c r="AF105" s="1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100"/>
    </row>
    <row r="106" spans="31:59" ht="15.75" thickBot="1" x14ac:dyDescent="0.3">
      <c r="AE106" s="859"/>
      <c r="AF106" s="252"/>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c r="BE106" s="166"/>
      <c r="BF106" s="166"/>
      <c r="BG106" s="102"/>
    </row>
  </sheetData>
  <mergeCells count="11">
    <mergeCell ref="M5:M11"/>
    <mergeCell ref="M13:M19"/>
    <mergeCell ref="M21:M24"/>
    <mergeCell ref="E61:H65"/>
    <mergeCell ref="C27:F27"/>
    <mergeCell ref="H27:K27"/>
    <mergeCell ref="AL71:AM71"/>
    <mergeCell ref="AJ71:AK71"/>
    <mergeCell ref="AG55:AJ56"/>
    <mergeCell ref="X55:Y55"/>
    <mergeCell ref="Y56:AB56"/>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B2:T86"/>
  <sheetViews>
    <sheetView topLeftCell="A4" workbookViewId="0">
      <selection activeCell="U20" sqref="U20"/>
    </sheetView>
  </sheetViews>
  <sheetFormatPr defaultRowHeight="15" x14ac:dyDescent="0.25"/>
  <cols>
    <col min="3" max="3" width="7.85546875" customWidth="1"/>
    <col min="4" max="4" width="11.7109375" customWidth="1"/>
    <col min="5" max="6" width="9.5703125" bestFit="1" customWidth="1"/>
    <col min="10" max="10" width="13" customWidth="1"/>
    <col min="15" max="15" width="9.28515625" customWidth="1"/>
    <col min="18" max="18" width="9.5703125" bestFit="1" customWidth="1"/>
  </cols>
  <sheetData>
    <row r="2" spans="2:20" ht="26.25" x14ac:dyDescent="0.4">
      <c r="B2" s="750" t="s">
        <v>83</v>
      </c>
    </row>
    <row r="3" spans="2:20" ht="15.75" thickBot="1" x14ac:dyDescent="0.3">
      <c r="B3" t="s">
        <v>68</v>
      </c>
    </row>
    <row r="4" spans="2:20" ht="15.75" thickBot="1" x14ac:dyDescent="0.3">
      <c r="Q4" s="164" t="s">
        <v>5</v>
      </c>
      <c r="R4" s="10"/>
      <c r="S4" s="10"/>
      <c r="T4" s="165">
        <v>1</v>
      </c>
    </row>
    <row r="5" spans="2:20" ht="21" x14ac:dyDescent="0.35">
      <c r="D5" s="139"/>
      <c r="E5" s="33"/>
      <c r="F5" s="33"/>
      <c r="G5" s="33"/>
      <c r="H5" s="33"/>
      <c r="I5" s="33"/>
      <c r="J5" s="33"/>
      <c r="K5" t="s">
        <v>44</v>
      </c>
      <c r="Q5" s="114" t="s">
        <v>70</v>
      </c>
      <c r="R5" s="7"/>
      <c r="S5" s="9" t="s">
        <v>2</v>
      </c>
      <c r="T5" s="11" t="s">
        <v>3</v>
      </c>
    </row>
    <row r="6" spans="2:20" ht="15.75" thickBot="1" x14ac:dyDescent="0.3">
      <c r="D6" t="s">
        <v>69</v>
      </c>
      <c r="E6" s="25" t="s">
        <v>2</v>
      </c>
      <c r="F6" s="25" t="s">
        <v>3</v>
      </c>
      <c r="G6" s="33"/>
      <c r="H6" s="33" t="s">
        <v>42</v>
      </c>
      <c r="I6" s="33">
        <f>COUNTA(E10:F10)</f>
        <v>2</v>
      </c>
      <c r="J6" s="33"/>
      <c r="K6">
        <f>I11</f>
        <v>0.69314718055994529</v>
      </c>
      <c r="Q6" s="114"/>
      <c r="R6" s="7"/>
      <c r="S6" s="167">
        <v>0.04</v>
      </c>
      <c r="T6" s="168">
        <f>1-S6</f>
        <v>0.96</v>
      </c>
    </row>
    <row r="7" spans="2:20" x14ac:dyDescent="0.25">
      <c r="B7" s="7"/>
      <c r="D7" s="7"/>
      <c r="E7" s="17"/>
      <c r="F7" s="17"/>
      <c r="G7" s="33"/>
      <c r="H7" s="33"/>
      <c r="I7" s="33"/>
      <c r="J7" s="33"/>
      <c r="P7" s="7"/>
      <c r="Q7" s="114" t="s">
        <v>72</v>
      </c>
      <c r="R7" s="7"/>
      <c r="S7" s="7">
        <v>500</v>
      </c>
      <c r="T7" s="100"/>
    </row>
    <row r="8" spans="2:20" ht="15.75" thickBot="1" x14ac:dyDescent="0.3">
      <c r="B8" s="7"/>
      <c r="E8" s="33"/>
      <c r="F8" s="33"/>
      <c r="G8" s="33"/>
      <c r="H8" s="33"/>
      <c r="I8" s="33"/>
      <c r="J8" s="33"/>
      <c r="Q8" s="119" t="s">
        <v>71</v>
      </c>
      <c r="R8" s="166"/>
      <c r="S8" s="166">
        <v>5000</v>
      </c>
      <c r="T8" s="102"/>
    </row>
    <row r="9" spans="2:20" x14ac:dyDescent="0.25">
      <c r="B9" s="7"/>
      <c r="C9" s="7"/>
      <c r="E9" s="61" t="s">
        <v>12</v>
      </c>
      <c r="F9" s="62"/>
      <c r="G9" s="62" t="s">
        <v>13</v>
      </c>
      <c r="H9" s="63"/>
      <c r="I9" s="61" t="s">
        <v>36</v>
      </c>
      <c r="J9" s="63" t="s">
        <v>35</v>
      </c>
      <c r="K9" s="20"/>
      <c r="L9" s="7"/>
      <c r="M9" s="7"/>
      <c r="N9" s="7"/>
      <c r="O9" s="7"/>
      <c r="P9" s="7"/>
      <c r="Q9" s="20"/>
    </row>
    <row r="10" spans="2:20" ht="15.75" thickBot="1" x14ac:dyDescent="0.3">
      <c r="B10" s="7"/>
      <c r="C10" s="32"/>
      <c r="D10" s="34" t="s">
        <v>34</v>
      </c>
      <c r="E10" s="39" t="s">
        <v>6</v>
      </c>
      <c r="F10" s="40" t="s">
        <v>7</v>
      </c>
      <c r="G10" s="76" t="s">
        <v>6</v>
      </c>
      <c r="H10" s="77" t="s">
        <v>7</v>
      </c>
      <c r="I10" s="42">
        <v>0</v>
      </c>
      <c r="J10" s="43"/>
      <c r="K10" s="7"/>
      <c r="L10" s="7"/>
      <c r="M10" s="7"/>
      <c r="N10" s="7" t="s">
        <v>78</v>
      </c>
      <c r="O10" s="7"/>
      <c r="P10" s="7"/>
      <c r="Q10" s="7"/>
    </row>
    <row r="11" spans="2:20" ht="15.75" thickTop="1" x14ac:dyDescent="0.25">
      <c r="B11" s="7"/>
      <c r="C11" s="7"/>
      <c r="D11" s="25" t="s">
        <v>39</v>
      </c>
      <c r="E11" s="44">
        <v>0</v>
      </c>
      <c r="F11" s="45">
        <v>0</v>
      </c>
      <c r="G11" s="50">
        <f t="shared" ref="G11:H14" si="0">EXP(E11/$T$4)/(EXP($F11/$T$4)+EXP($E11/$T$4))</f>
        <v>0.5</v>
      </c>
      <c r="H11" s="78">
        <f t="shared" si="0"/>
        <v>0.5</v>
      </c>
      <c r="I11" s="81">
        <f t="shared" ref="I11:I30" si="1">$T$4*LN(EXP($F11/$T$4)+EXP($E11/$T$4))</f>
        <v>0.69314718055994529</v>
      </c>
      <c r="J11" s="154">
        <f>(I11-I10)</f>
        <v>0.69314718055994529</v>
      </c>
      <c r="K11" s="7"/>
      <c r="L11" s="7"/>
      <c r="M11" s="7"/>
      <c r="N11" t="str">
        <f>IF(D11="Buyer",J11,"")</f>
        <v/>
      </c>
      <c r="P11" s="7"/>
      <c r="Q11" s="7"/>
    </row>
    <row r="12" spans="2:20" x14ac:dyDescent="0.25">
      <c r="B12" s="7"/>
      <c r="C12" s="7"/>
      <c r="D12" s="25" t="s">
        <v>75</v>
      </c>
      <c r="E12" s="47">
        <f>S7/S8</f>
        <v>0.1</v>
      </c>
      <c r="F12" s="41">
        <v>0</v>
      </c>
      <c r="G12" s="48">
        <f t="shared" si="0"/>
        <v>0.52497918747894001</v>
      </c>
      <c r="H12" s="79">
        <f t="shared" si="0"/>
        <v>0.47502081252105999</v>
      </c>
      <c r="I12" s="82">
        <f t="shared" si="1"/>
        <v>0.74439666007357097</v>
      </c>
      <c r="J12" s="155">
        <f>(I12-I11)</f>
        <v>5.1249479513625684E-2</v>
      </c>
      <c r="K12" s="7"/>
      <c r="L12" s="7" t="s">
        <v>73</v>
      </c>
      <c r="M12" s="7" t="s">
        <v>74</v>
      </c>
      <c r="N12" s="169">
        <f>IF(D12="Buyer",J12,"")</f>
        <v>5.1249479513625684E-2</v>
      </c>
      <c r="P12" s="7"/>
      <c r="Q12" s="7"/>
    </row>
    <row r="13" spans="2:20" x14ac:dyDescent="0.25">
      <c r="B13" s="7"/>
      <c r="C13" s="7">
        <v>1</v>
      </c>
      <c r="D13" s="25" t="s">
        <v>76</v>
      </c>
      <c r="E13" s="47">
        <f>IF(MOD(ROW(A13),2)=1,E12+E11,E12)</f>
        <v>0.1</v>
      </c>
      <c r="F13" s="159">
        <f t="shared" ref="F13:F19" si="2">IF(MOD(ROW(A13),2)=0,L13,F12)</f>
        <v>0</v>
      </c>
      <c r="G13" s="48">
        <f t="shared" si="0"/>
        <v>0.52497918747894001</v>
      </c>
      <c r="H13" s="79">
        <f t="shared" si="0"/>
        <v>0.47502081252105999</v>
      </c>
      <c r="I13" s="82">
        <f t="shared" si="1"/>
        <v>0.74439666007357097</v>
      </c>
      <c r="J13" s="155">
        <f>(I13-I12)</f>
        <v>0</v>
      </c>
      <c r="K13" s="7"/>
      <c r="L13" s="120">
        <f>$T$4*LN($T$6/$S$6)+E13</f>
        <v>3.2780538303479458</v>
      </c>
      <c r="M13" s="120">
        <f>IF( D13="Seller",((F13-F12)-J13)*$T$6,"")</f>
        <v>0</v>
      </c>
      <c r="N13" t="str">
        <f>IF(D13="Buyer",J13,"")</f>
        <v/>
      </c>
      <c r="P13" s="160"/>
      <c r="Q13" s="7"/>
      <c r="R13" s="162"/>
    </row>
    <row r="14" spans="2:20" x14ac:dyDescent="0.25">
      <c r="B14" s="7"/>
      <c r="C14" s="7"/>
      <c r="D14" s="25" t="s">
        <v>75</v>
      </c>
      <c r="E14" s="47">
        <f>IF(MOD(ROW(A14),2)=1,E13+$E$12,E13)</f>
        <v>0.1</v>
      </c>
      <c r="F14" s="159">
        <f t="shared" si="2"/>
        <v>3.2780538303479458</v>
      </c>
      <c r="G14" s="48">
        <f t="shared" si="0"/>
        <v>3.9999999999999994E-2</v>
      </c>
      <c r="H14" s="79">
        <f t="shared" si="0"/>
        <v>0.96000000000000008</v>
      </c>
      <c r="I14" s="82">
        <f t="shared" si="1"/>
        <v>3.3188758248682011</v>
      </c>
      <c r="J14" s="155">
        <f>(I14-I13)</f>
        <v>2.5744791647946301</v>
      </c>
      <c r="K14" s="7"/>
      <c r="L14" s="120">
        <f>$T$4*LN($T$6/$S$6)+E14</f>
        <v>3.2780538303479458</v>
      </c>
      <c r="M14" s="120" t="str">
        <f t="shared" ref="M14:M29" si="3">IF( D14="Seller",((F14-F13)-J14)*$T$6,"")</f>
        <v/>
      </c>
      <c r="N14">
        <f>IF(D14="Buyer",J14,"")</f>
        <v>2.5744791647946301</v>
      </c>
      <c r="P14" s="7"/>
      <c r="Q14" s="7"/>
    </row>
    <row r="15" spans="2:20" x14ac:dyDescent="0.25">
      <c r="B15" s="7"/>
      <c r="C15" s="7">
        <v>2</v>
      </c>
      <c r="D15" s="25" t="s">
        <v>76</v>
      </c>
      <c r="E15" s="47">
        <f t="shared" ref="E15:E28" si="4">IF(MOD(ROW(A15),2)=1,E14+$E$12,E14)</f>
        <v>0.2</v>
      </c>
      <c r="F15" s="159">
        <f t="shared" si="2"/>
        <v>3.2780538303479458</v>
      </c>
      <c r="G15" s="48">
        <f t="shared" ref="G15:G29" si="5">EXP(E15/$T$4)/(EXP($F15/$T$4)+EXP($E15/$T$4))</f>
        <v>4.4021644850859298E-2</v>
      </c>
      <c r="H15" s="79">
        <f t="shared" ref="H15:H29" si="6">EXP(F15/$T$4)/(EXP($F15/$T$4)+EXP($E15/$T$4))</f>
        <v>0.95597835514914065</v>
      </c>
      <c r="I15" s="82">
        <f t="shared" si="1"/>
        <v>3.3230738375923785</v>
      </c>
      <c r="J15" s="155">
        <f t="shared" ref="J15:J29" si="7">(I15-I14)</f>
        <v>4.1980127241774134E-3</v>
      </c>
      <c r="K15" s="7"/>
      <c r="L15" s="120">
        <f t="shared" ref="L15:L28" si="8">$T$4*LN($T$6/$S$6)+E15</f>
        <v>3.3780538303479459</v>
      </c>
      <c r="M15" s="120">
        <f>IF( D15="Seller",((F15-F14)-J15)*$T$6,"")</f>
        <v>-4.0300922152103165E-3</v>
      </c>
      <c r="N15" t="str">
        <f t="shared" ref="N15:N29" si="9">IF(D15="Buyer",J15,"")</f>
        <v/>
      </c>
      <c r="O15" s="7"/>
      <c r="P15" s="7"/>
      <c r="Q15" s="7"/>
    </row>
    <row r="16" spans="2:20" x14ac:dyDescent="0.25">
      <c r="B16" s="7"/>
      <c r="D16" s="25" t="s">
        <v>75</v>
      </c>
      <c r="E16" s="47">
        <f t="shared" si="4"/>
        <v>0.2</v>
      </c>
      <c r="F16" s="159">
        <f t="shared" si="2"/>
        <v>3.3780538303479459</v>
      </c>
      <c r="G16" s="48">
        <f t="shared" si="5"/>
        <v>3.9999999999999987E-2</v>
      </c>
      <c r="H16" s="79">
        <f t="shared" si="6"/>
        <v>0.96</v>
      </c>
      <c r="I16" s="82">
        <f t="shared" si="1"/>
        <v>3.4188758248682012</v>
      </c>
      <c r="J16" s="155">
        <f t="shared" si="7"/>
        <v>9.5801987275822675E-2</v>
      </c>
      <c r="K16" s="7"/>
      <c r="L16" s="120">
        <f t="shared" si="8"/>
        <v>3.3780538303479459</v>
      </c>
      <c r="M16" s="120" t="str">
        <f t="shared" si="3"/>
        <v/>
      </c>
      <c r="N16">
        <f t="shared" si="9"/>
        <v>9.5801987275822675E-2</v>
      </c>
      <c r="O16" s="7"/>
      <c r="P16" s="7"/>
      <c r="Q16" s="7"/>
    </row>
    <row r="17" spans="2:17" x14ac:dyDescent="0.25">
      <c r="B17" s="7"/>
      <c r="C17">
        <v>3</v>
      </c>
      <c r="D17" s="25" t="s">
        <v>76</v>
      </c>
      <c r="E17" s="47">
        <f t="shared" si="4"/>
        <v>0.30000000000000004</v>
      </c>
      <c r="F17" s="159">
        <f t="shared" si="2"/>
        <v>3.3780538303479459</v>
      </c>
      <c r="G17" s="48">
        <f t="shared" si="5"/>
        <v>4.4021644850859298E-2</v>
      </c>
      <c r="H17" s="79">
        <f t="shared" si="6"/>
        <v>0.95597835514914076</v>
      </c>
      <c r="I17" s="82">
        <f t="shared" si="1"/>
        <v>3.4230738375923786</v>
      </c>
      <c r="J17" s="155">
        <f t="shared" si="7"/>
        <v>4.1980127241774134E-3</v>
      </c>
      <c r="K17" s="7"/>
      <c r="L17" s="120">
        <f t="shared" si="8"/>
        <v>3.478053830347946</v>
      </c>
      <c r="M17" s="120">
        <f>IF( D17="Seller",((F17-F16)-J17)*$T$6,"")</f>
        <v>-4.0300922152103165E-3</v>
      </c>
      <c r="N17" t="str">
        <f t="shared" si="9"/>
        <v/>
      </c>
      <c r="O17" s="7"/>
      <c r="P17" s="7"/>
      <c r="Q17" s="7"/>
    </row>
    <row r="18" spans="2:17" x14ac:dyDescent="0.25">
      <c r="B18" s="7"/>
      <c r="C18" s="7"/>
      <c r="D18" s="25" t="s">
        <v>75</v>
      </c>
      <c r="E18" s="47">
        <f t="shared" si="4"/>
        <v>0.30000000000000004</v>
      </c>
      <c r="F18" s="159">
        <f t="shared" si="2"/>
        <v>3.478053830347946</v>
      </c>
      <c r="G18" s="48">
        <f t="shared" si="5"/>
        <v>3.9999999999999987E-2</v>
      </c>
      <c r="H18" s="79">
        <f t="shared" si="6"/>
        <v>0.96</v>
      </c>
      <c r="I18" s="82">
        <f t="shared" si="1"/>
        <v>3.5188758248682013</v>
      </c>
      <c r="J18" s="155">
        <f t="shared" si="7"/>
        <v>9.5801987275822675E-2</v>
      </c>
      <c r="K18" s="7"/>
      <c r="L18" s="120">
        <f t="shared" si="8"/>
        <v>3.478053830347946</v>
      </c>
      <c r="M18" s="120" t="str">
        <f t="shared" si="3"/>
        <v/>
      </c>
      <c r="N18">
        <f t="shared" si="9"/>
        <v>9.5801987275822675E-2</v>
      </c>
      <c r="O18" s="7"/>
      <c r="P18" s="7"/>
      <c r="Q18" s="7"/>
    </row>
    <row r="19" spans="2:17" x14ac:dyDescent="0.25">
      <c r="B19" s="7"/>
      <c r="C19" s="7">
        <v>4</v>
      </c>
      <c r="D19" s="25" t="s">
        <v>76</v>
      </c>
      <c r="E19" s="47">
        <f t="shared" si="4"/>
        <v>0.4</v>
      </c>
      <c r="F19" s="159">
        <f t="shared" si="2"/>
        <v>3.478053830347946</v>
      </c>
      <c r="G19" s="48">
        <f t="shared" si="5"/>
        <v>4.4021644850859291E-2</v>
      </c>
      <c r="H19" s="79">
        <f t="shared" si="6"/>
        <v>0.95597835514914076</v>
      </c>
      <c r="I19" s="82">
        <f t="shared" si="1"/>
        <v>3.5230738375923787</v>
      </c>
      <c r="J19" s="155">
        <f t="shared" si="7"/>
        <v>4.1980127241774134E-3</v>
      </c>
      <c r="K19" s="7"/>
      <c r="L19" s="120">
        <f t="shared" si="8"/>
        <v>3.5780538303479457</v>
      </c>
      <c r="M19" s="120">
        <f>IF( D19="Seller",((F19-F18)-J19)*$T$6,"")</f>
        <v>-4.0300922152103165E-3</v>
      </c>
      <c r="N19" t="str">
        <f t="shared" si="9"/>
        <v/>
      </c>
      <c r="O19" s="7"/>
      <c r="P19" s="7"/>
      <c r="Q19" s="7"/>
    </row>
    <row r="20" spans="2:17" x14ac:dyDescent="0.25">
      <c r="B20" s="7"/>
      <c r="C20" s="7"/>
      <c r="D20" s="25" t="s">
        <v>75</v>
      </c>
      <c r="E20" s="47">
        <f t="shared" si="4"/>
        <v>0.4</v>
      </c>
      <c r="F20" s="159">
        <f t="shared" ref="F20:F28" si="10">IF(MOD(ROW(A20),2)=0,L20,F19)</f>
        <v>3.5780538303479457</v>
      </c>
      <c r="G20" s="48">
        <f t="shared" si="5"/>
        <v>0.04</v>
      </c>
      <c r="H20" s="79">
        <f t="shared" si="6"/>
        <v>0.96</v>
      </c>
      <c r="I20" s="82">
        <f t="shared" si="1"/>
        <v>3.6188758248682009</v>
      </c>
      <c r="J20" s="155">
        <f t="shared" si="7"/>
        <v>9.5801987275822231E-2</v>
      </c>
      <c r="K20" s="7"/>
      <c r="L20" s="120">
        <f t="shared" si="8"/>
        <v>3.5780538303479457</v>
      </c>
      <c r="M20" s="120" t="str">
        <f t="shared" si="3"/>
        <v/>
      </c>
      <c r="N20">
        <f t="shared" si="9"/>
        <v>9.5801987275822231E-2</v>
      </c>
      <c r="O20" s="7"/>
      <c r="P20" s="7"/>
      <c r="Q20" s="7"/>
    </row>
    <row r="21" spans="2:17" x14ac:dyDescent="0.25">
      <c r="B21" s="7"/>
      <c r="C21" s="7">
        <v>5</v>
      </c>
      <c r="D21" s="25" t="s">
        <v>76</v>
      </c>
      <c r="E21" s="47">
        <f t="shared" si="4"/>
        <v>0.5</v>
      </c>
      <c r="F21" s="159">
        <f t="shared" si="10"/>
        <v>3.5780538303479457</v>
      </c>
      <c r="G21" s="48">
        <f t="shared" si="5"/>
        <v>4.4021644850859305E-2</v>
      </c>
      <c r="H21" s="79">
        <f t="shared" si="6"/>
        <v>0.95597835514914065</v>
      </c>
      <c r="I21" s="82">
        <f t="shared" si="1"/>
        <v>3.6230738375923783</v>
      </c>
      <c r="J21" s="155">
        <f>(I21-I20)</f>
        <v>4.1980127241774134E-3</v>
      </c>
      <c r="K21" s="7"/>
      <c r="L21" s="120">
        <f>$T$4*LN($T$6/$S$6)+E21</f>
        <v>3.6780538303479458</v>
      </c>
      <c r="M21" s="120">
        <f t="shared" si="3"/>
        <v>-4.0300922152103165E-3</v>
      </c>
      <c r="N21" t="str">
        <f t="shared" si="9"/>
        <v/>
      </c>
      <c r="O21" s="7"/>
      <c r="P21" s="7"/>
      <c r="Q21" s="7"/>
    </row>
    <row r="22" spans="2:17" x14ac:dyDescent="0.25">
      <c r="B22" s="7"/>
      <c r="C22" s="7"/>
      <c r="D22" s="25" t="s">
        <v>75</v>
      </c>
      <c r="E22" s="47">
        <f t="shared" si="4"/>
        <v>0.5</v>
      </c>
      <c r="F22" s="159">
        <f t="shared" si="10"/>
        <v>3.6780538303479458</v>
      </c>
      <c r="G22" s="48">
        <f t="shared" si="5"/>
        <v>3.9999999999999994E-2</v>
      </c>
      <c r="H22" s="79">
        <f t="shared" si="6"/>
        <v>0.96</v>
      </c>
      <c r="I22" s="82">
        <f t="shared" si="1"/>
        <v>3.718875824868201</v>
      </c>
      <c r="J22" s="155">
        <f t="shared" si="7"/>
        <v>9.5801987275822675E-2</v>
      </c>
      <c r="K22" s="7"/>
      <c r="L22" s="120">
        <f t="shared" si="8"/>
        <v>3.6780538303479458</v>
      </c>
      <c r="M22" s="120" t="str">
        <f t="shared" si="3"/>
        <v/>
      </c>
      <c r="N22">
        <f>IF(D22="Buyer",J22,"")</f>
        <v>9.5801987275822675E-2</v>
      </c>
      <c r="O22" s="7"/>
      <c r="P22" s="7"/>
      <c r="Q22" s="7"/>
    </row>
    <row r="23" spans="2:17" x14ac:dyDescent="0.25">
      <c r="B23" s="7"/>
      <c r="C23">
        <v>6</v>
      </c>
      <c r="D23" s="25" t="s">
        <v>76</v>
      </c>
      <c r="E23" s="47">
        <f t="shared" si="4"/>
        <v>0.6</v>
      </c>
      <c r="F23" s="159">
        <f t="shared" si="10"/>
        <v>3.6780538303479458</v>
      </c>
      <c r="G23" s="48">
        <f t="shared" si="5"/>
        <v>4.4021644850859298E-2</v>
      </c>
      <c r="H23" s="79">
        <f t="shared" si="6"/>
        <v>0.95597835514914076</v>
      </c>
      <c r="I23" s="82">
        <f t="shared" si="1"/>
        <v>3.7230738375923784</v>
      </c>
      <c r="J23" s="155">
        <f t="shared" si="7"/>
        <v>4.1980127241774134E-3</v>
      </c>
      <c r="K23" s="7"/>
      <c r="L23" s="120">
        <f t="shared" si="8"/>
        <v>3.7780538303479458</v>
      </c>
      <c r="M23" s="120">
        <f t="shared" si="3"/>
        <v>-4.0300922152103165E-3</v>
      </c>
      <c r="N23" t="str">
        <f>IF(D23="Buyer",J23,"")</f>
        <v/>
      </c>
      <c r="O23" s="7"/>
      <c r="P23" s="7"/>
      <c r="Q23" s="7"/>
    </row>
    <row r="24" spans="2:17" x14ac:dyDescent="0.25">
      <c r="B24" s="7"/>
      <c r="C24" s="7"/>
      <c r="D24" s="25" t="s">
        <v>75</v>
      </c>
      <c r="E24" s="47">
        <f t="shared" si="4"/>
        <v>0.6</v>
      </c>
      <c r="F24" s="159">
        <f t="shared" si="10"/>
        <v>3.7780538303479458</v>
      </c>
      <c r="G24" s="48">
        <f t="shared" si="5"/>
        <v>3.9999999999999994E-2</v>
      </c>
      <c r="H24" s="79">
        <f t="shared" si="6"/>
        <v>0.96000000000000008</v>
      </c>
      <c r="I24" s="82">
        <f t="shared" si="1"/>
        <v>3.8188758248682011</v>
      </c>
      <c r="J24" s="155">
        <f t="shared" si="7"/>
        <v>9.5801987275822675E-2</v>
      </c>
      <c r="K24" s="7"/>
      <c r="L24" s="120">
        <f t="shared" si="8"/>
        <v>3.7780538303479458</v>
      </c>
      <c r="M24" s="120" t="str">
        <f t="shared" si="3"/>
        <v/>
      </c>
      <c r="N24">
        <f t="shared" si="9"/>
        <v>9.5801987275822675E-2</v>
      </c>
      <c r="O24" s="7"/>
      <c r="P24" s="7"/>
      <c r="Q24" s="7"/>
    </row>
    <row r="25" spans="2:17" x14ac:dyDescent="0.25">
      <c r="B25" s="7"/>
      <c r="C25" s="7">
        <v>7</v>
      </c>
      <c r="D25" s="25" t="s">
        <v>76</v>
      </c>
      <c r="E25" s="47">
        <f t="shared" si="4"/>
        <v>0.7</v>
      </c>
      <c r="F25" s="159">
        <f t="shared" si="10"/>
        <v>3.7780538303479458</v>
      </c>
      <c r="G25" s="48">
        <f t="shared" si="5"/>
        <v>4.4021644850859298E-2</v>
      </c>
      <c r="H25" s="79">
        <f t="shared" si="6"/>
        <v>0.95597835514914076</v>
      </c>
      <c r="I25" s="82">
        <f t="shared" si="1"/>
        <v>3.8230738375923785</v>
      </c>
      <c r="J25" s="155">
        <f>(I25-I24)</f>
        <v>4.1980127241774134E-3</v>
      </c>
      <c r="K25" s="7"/>
      <c r="L25" s="120">
        <f t="shared" si="8"/>
        <v>3.8780538303479455</v>
      </c>
      <c r="M25" s="120">
        <f t="shared" si="3"/>
        <v>-4.0300922152103165E-3</v>
      </c>
      <c r="N25" t="str">
        <f t="shared" si="9"/>
        <v/>
      </c>
      <c r="O25" s="7"/>
      <c r="P25" s="7"/>
      <c r="Q25" s="7"/>
    </row>
    <row r="26" spans="2:17" x14ac:dyDescent="0.25">
      <c r="B26" s="7"/>
      <c r="C26" s="7"/>
      <c r="D26" s="25" t="s">
        <v>75</v>
      </c>
      <c r="E26" s="47">
        <f t="shared" si="4"/>
        <v>0.7</v>
      </c>
      <c r="F26" s="159">
        <f t="shared" si="10"/>
        <v>3.8780538303479455</v>
      </c>
      <c r="G26" s="48">
        <f t="shared" si="5"/>
        <v>4.0000000000000008E-2</v>
      </c>
      <c r="H26" s="79">
        <f t="shared" si="6"/>
        <v>0.96000000000000008</v>
      </c>
      <c r="I26" s="82">
        <f t="shared" si="1"/>
        <v>3.9188758248682007</v>
      </c>
      <c r="J26" s="155">
        <f t="shared" si="7"/>
        <v>9.5801987275822231E-2</v>
      </c>
      <c r="K26" s="7"/>
      <c r="L26" s="120">
        <f t="shared" si="8"/>
        <v>3.8780538303479455</v>
      </c>
      <c r="M26" s="120" t="str">
        <f t="shared" si="3"/>
        <v/>
      </c>
      <c r="N26">
        <f t="shared" si="9"/>
        <v>9.5801987275822231E-2</v>
      </c>
      <c r="O26" s="7"/>
      <c r="P26" s="7"/>
      <c r="Q26" s="7"/>
    </row>
    <row r="27" spans="2:17" x14ac:dyDescent="0.25">
      <c r="B27" s="7"/>
      <c r="C27" s="7">
        <v>8</v>
      </c>
      <c r="D27" s="25" t="s">
        <v>76</v>
      </c>
      <c r="E27" s="47">
        <f t="shared" si="4"/>
        <v>0.79999999999999993</v>
      </c>
      <c r="F27" s="159">
        <f t="shared" si="10"/>
        <v>3.8780538303479455</v>
      </c>
      <c r="G27" s="48">
        <f t="shared" si="5"/>
        <v>4.4021644850859305E-2</v>
      </c>
      <c r="H27" s="79">
        <f t="shared" si="6"/>
        <v>0.95597835514914065</v>
      </c>
      <c r="I27" s="82">
        <f t="shared" si="1"/>
        <v>3.9230738375923782</v>
      </c>
      <c r="J27" s="155">
        <f t="shared" si="7"/>
        <v>4.1980127241774134E-3</v>
      </c>
      <c r="K27" s="7"/>
      <c r="L27" s="120">
        <f t="shared" si="8"/>
        <v>3.9780538303479456</v>
      </c>
      <c r="M27" s="120">
        <f>IF( D27="Seller",((F27-F26)-J27)*$T$6,"")</f>
        <v>-4.0300922152103165E-3</v>
      </c>
      <c r="N27" t="str">
        <f t="shared" si="9"/>
        <v/>
      </c>
      <c r="O27" s="7"/>
      <c r="P27" s="7"/>
      <c r="Q27" s="7"/>
    </row>
    <row r="28" spans="2:17" x14ac:dyDescent="0.25">
      <c r="B28" s="7"/>
      <c r="D28" s="21" t="s">
        <v>77</v>
      </c>
      <c r="E28" s="47">
        <f t="shared" si="4"/>
        <v>0.79999999999999993</v>
      </c>
      <c r="F28" s="159">
        <f t="shared" si="10"/>
        <v>3.9780538303479456</v>
      </c>
      <c r="G28" s="48">
        <f t="shared" si="5"/>
        <v>0.04</v>
      </c>
      <c r="H28" s="79">
        <f t="shared" si="6"/>
        <v>0.96000000000000008</v>
      </c>
      <c r="I28" s="82">
        <f t="shared" si="1"/>
        <v>4.0188758248682008</v>
      </c>
      <c r="J28" s="155">
        <f t="shared" si="7"/>
        <v>9.5801987275822675E-2</v>
      </c>
      <c r="K28" s="7"/>
      <c r="L28" s="120">
        <f t="shared" si="8"/>
        <v>3.9780538303479456</v>
      </c>
      <c r="M28" s="120" t="str">
        <f t="shared" si="3"/>
        <v/>
      </c>
      <c r="N28" t="str">
        <f t="shared" si="9"/>
        <v/>
      </c>
      <c r="O28" s="7"/>
      <c r="P28" s="7"/>
      <c r="Q28" s="7"/>
    </row>
    <row r="29" spans="2:17" ht="15.75" thickBot="1" x14ac:dyDescent="0.3">
      <c r="B29" s="7"/>
      <c r="C29" s="7"/>
      <c r="D29" s="25" t="s">
        <v>38</v>
      </c>
      <c r="E29" s="47">
        <v>0</v>
      </c>
      <c r="F29" s="161">
        <f>F28</f>
        <v>3.9780538303479456</v>
      </c>
      <c r="G29" s="48">
        <f t="shared" si="5"/>
        <v>1.8377967132622502E-2</v>
      </c>
      <c r="H29" s="79">
        <f t="shared" si="6"/>
        <v>0.98162203286737748</v>
      </c>
      <c r="I29" s="112">
        <f t="shared" si="1"/>
        <v>3.9966027703138742</v>
      </c>
      <c r="J29" s="156">
        <f t="shared" si="7"/>
        <v>-2.2273054554326599E-2</v>
      </c>
      <c r="K29" s="7"/>
      <c r="L29" s="120">
        <f>$T$4*LN($T$6/$S$6)+E29</f>
        <v>3.1780538303479458</v>
      </c>
      <c r="M29" s="120" t="str">
        <f t="shared" si="3"/>
        <v/>
      </c>
      <c r="N29" t="str">
        <f t="shared" si="9"/>
        <v/>
      </c>
      <c r="O29" s="7"/>
      <c r="P29" s="7"/>
      <c r="Q29" s="7"/>
    </row>
    <row r="30" spans="2:17" ht="16.5" thickTop="1" thickBot="1" x14ac:dyDescent="0.3">
      <c r="B30" s="7"/>
      <c r="C30" s="7"/>
      <c r="D30" s="25" t="s">
        <v>0</v>
      </c>
      <c r="E30" s="51">
        <f>E29</f>
        <v>0</v>
      </c>
      <c r="F30" s="163">
        <f>F29</f>
        <v>3.9780538303479456</v>
      </c>
      <c r="G30" s="52">
        <f>EXP(E30)/(EXP($F30)+EXP($E30))</f>
        <v>1.8377967132622502E-2</v>
      </c>
      <c r="H30" s="80">
        <f>EXP(F30)/(EXP($F30)+EXP($E30))</f>
        <v>0.98162203286737748</v>
      </c>
      <c r="I30" s="83">
        <f t="shared" si="1"/>
        <v>3.9966027703138742</v>
      </c>
      <c r="J30" s="157">
        <f>SUM(J11:J29)</f>
        <v>3.9966027703138742</v>
      </c>
      <c r="K30" s="8" t="s">
        <v>43</v>
      </c>
      <c r="L30" s="7"/>
      <c r="M30" s="7"/>
      <c r="N30" s="7"/>
      <c r="O30" s="7"/>
      <c r="P30" s="7"/>
      <c r="Q30" s="8"/>
    </row>
    <row r="31" spans="2:17" ht="15.75" thickBot="1" x14ac:dyDescent="0.3">
      <c r="B31" s="7"/>
      <c r="E31" s="33"/>
      <c r="F31" s="33"/>
      <c r="G31" s="33"/>
      <c r="H31" s="33"/>
      <c r="I31" s="111">
        <v>0</v>
      </c>
      <c r="J31" s="158">
        <f>J30-(SUMPRODUCT(G30:H30,E30:F30))</f>
        <v>9.1657482511866117E-2</v>
      </c>
      <c r="K31" t="s">
        <v>57</v>
      </c>
      <c r="L31" s="7"/>
      <c r="M31" s="7"/>
      <c r="N31" s="7"/>
      <c r="O31" s="7"/>
      <c r="P31" s="7"/>
    </row>
    <row r="33" spans="8:15" x14ac:dyDescent="0.25">
      <c r="M33" t="s">
        <v>80</v>
      </c>
      <c r="N33" t="s">
        <v>81</v>
      </c>
      <c r="O33" t="s">
        <v>82</v>
      </c>
    </row>
    <row r="34" spans="8:15" x14ac:dyDescent="0.25">
      <c r="M34">
        <f>M13+(M27*($S$8-1))</f>
        <v>-20.146430983836371</v>
      </c>
      <c r="N34">
        <f>N12+(N26*($S$8-1))</f>
        <v>478.96538387134893</v>
      </c>
      <c r="O34">
        <f>K6</f>
        <v>0.69314718055994529</v>
      </c>
    </row>
    <row r="36" spans="8:15" x14ac:dyDescent="0.25">
      <c r="H36" t="s">
        <v>85</v>
      </c>
      <c r="J36">
        <f>(J25*S8)+J13</f>
        <v>20.990063620887067</v>
      </c>
      <c r="M36" t="s">
        <v>79</v>
      </c>
    </row>
    <row r="37" spans="8:15" x14ac:dyDescent="0.25">
      <c r="H37" t="s">
        <v>88</v>
      </c>
      <c r="J37" s="171">
        <f>M34/J36</f>
        <v>-0.95980799999999988</v>
      </c>
    </row>
    <row r="38" spans="8:15" x14ac:dyDescent="0.25">
      <c r="H38" t="s">
        <v>89</v>
      </c>
      <c r="M38" t="s">
        <v>84</v>
      </c>
    </row>
    <row r="39" spans="8:15" x14ac:dyDescent="0.25">
      <c r="N39">
        <f>S6*S7</f>
        <v>20</v>
      </c>
    </row>
    <row r="40" spans="8:15" x14ac:dyDescent="0.25">
      <c r="H40" t="s">
        <v>90</v>
      </c>
    </row>
    <row r="41" spans="8:15" x14ac:dyDescent="0.25">
      <c r="H41" t="s">
        <v>91</v>
      </c>
    </row>
    <row r="49" spans="3:20" x14ac:dyDescent="0.25">
      <c r="D49" t="s">
        <v>67</v>
      </c>
    </row>
    <row r="50" spans="3:20" ht="15.75" thickBot="1" x14ac:dyDescent="0.3">
      <c r="D50" t="s">
        <v>68</v>
      </c>
    </row>
    <row r="51" spans="3:20" ht="15.75" thickBot="1" x14ac:dyDescent="0.3">
      <c r="Q51" s="164" t="s">
        <v>5</v>
      </c>
      <c r="R51" s="10"/>
      <c r="S51" s="10"/>
      <c r="T51" s="165">
        <v>1</v>
      </c>
    </row>
    <row r="52" spans="3:20" ht="21" x14ac:dyDescent="0.35">
      <c r="D52" s="139"/>
      <c r="E52" s="33"/>
      <c r="F52" s="33"/>
      <c r="G52" s="33"/>
      <c r="H52" s="33"/>
      <c r="I52" s="33"/>
      <c r="J52" s="33"/>
      <c r="K52" t="s">
        <v>44</v>
      </c>
      <c r="Q52" s="114" t="s">
        <v>70</v>
      </c>
      <c r="R52" s="7"/>
      <c r="S52" s="9" t="s">
        <v>2</v>
      </c>
      <c r="T52" s="11" t="s">
        <v>3</v>
      </c>
    </row>
    <row r="53" spans="3:20" ht="15.75" thickBot="1" x14ac:dyDescent="0.3">
      <c r="D53" t="s">
        <v>69</v>
      </c>
      <c r="E53" s="25" t="s">
        <v>2</v>
      </c>
      <c r="F53" s="25" t="s">
        <v>3</v>
      </c>
      <c r="G53" s="33"/>
      <c r="H53" s="33" t="s">
        <v>42</v>
      </c>
      <c r="I53" s="33">
        <f>COUNTA(E57:F57)</f>
        <v>2</v>
      </c>
      <c r="J53" s="33"/>
      <c r="K53">
        <f>I58</f>
        <v>0.69314718055994529</v>
      </c>
      <c r="Q53" s="114"/>
      <c r="R53" s="7"/>
      <c r="S53" s="167">
        <v>0.04</v>
      </c>
      <c r="T53" s="168">
        <f>1-S53</f>
        <v>0.96</v>
      </c>
    </row>
    <row r="54" spans="3:20" x14ac:dyDescent="0.25">
      <c r="D54" s="7"/>
      <c r="E54" s="17"/>
      <c r="F54" s="17"/>
      <c r="G54" s="33"/>
      <c r="H54" s="33"/>
      <c r="I54" s="33"/>
      <c r="J54" s="33"/>
      <c r="P54" s="7"/>
      <c r="Q54" s="114" t="s">
        <v>72</v>
      </c>
      <c r="R54" s="7"/>
      <c r="S54" s="7">
        <v>500</v>
      </c>
      <c r="T54" s="100"/>
    </row>
    <row r="55" spans="3:20" ht="15.75" thickBot="1" x14ac:dyDescent="0.3">
      <c r="E55" s="33"/>
      <c r="F55" s="33"/>
      <c r="G55" s="33"/>
      <c r="H55" s="33"/>
      <c r="I55" s="33"/>
      <c r="J55" s="33"/>
      <c r="Q55" s="119" t="s">
        <v>71</v>
      </c>
      <c r="R55" s="166"/>
      <c r="S55" s="166">
        <v>5000</v>
      </c>
      <c r="T55" s="102"/>
    </row>
    <row r="56" spans="3:20" x14ac:dyDescent="0.25">
      <c r="E56" s="61" t="s">
        <v>12</v>
      </c>
      <c r="F56" s="62"/>
      <c r="G56" s="62" t="s">
        <v>13</v>
      </c>
      <c r="H56" s="63"/>
      <c r="I56" s="61" t="s">
        <v>36</v>
      </c>
      <c r="J56" s="63" t="s">
        <v>35</v>
      </c>
      <c r="K56" s="20"/>
      <c r="L56" s="7"/>
      <c r="M56" s="7"/>
      <c r="N56" s="7"/>
      <c r="O56" s="7"/>
      <c r="P56" s="7"/>
      <c r="Q56" s="20"/>
    </row>
    <row r="57" spans="3:20" ht="15.75" thickBot="1" x14ac:dyDescent="0.3">
      <c r="D57" s="34" t="s">
        <v>34</v>
      </c>
      <c r="E57" s="39" t="s">
        <v>6</v>
      </c>
      <c r="F57" s="40" t="s">
        <v>7</v>
      </c>
      <c r="G57" s="76" t="s">
        <v>6</v>
      </c>
      <c r="H57" s="77" t="s">
        <v>7</v>
      </c>
      <c r="I57" s="42">
        <v>0</v>
      </c>
      <c r="J57" s="43"/>
      <c r="K57" s="7"/>
      <c r="L57" s="7"/>
      <c r="M57" s="7"/>
      <c r="N57" s="7" t="s">
        <v>78</v>
      </c>
      <c r="O57" s="7"/>
      <c r="P57" s="7"/>
      <c r="Q57" s="170"/>
    </row>
    <row r="58" spans="3:20" ht="15.75" thickTop="1" x14ac:dyDescent="0.25">
      <c r="D58" s="25" t="s">
        <v>39</v>
      </c>
      <c r="E58" s="44">
        <v>0</v>
      </c>
      <c r="F58" s="45">
        <v>0</v>
      </c>
      <c r="G58" s="50">
        <f t="shared" ref="G58:H61" si="11">EXP(E58/$T$4)/(EXP($F58/$T$4)+EXP($E58/$T$4))</f>
        <v>0.5</v>
      </c>
      <c r="H58" s="78">
        <f t="shared" si="11"/>
        <v>0.5</v>
      </c>
      <c r="I58" s="81">
        <f t="shared" ref="I58:I77" si="12">$T$4*LN(EXP($F58/$T$4)+EXP($E58/$T$4))</f>
        <v>0.69314718055994529</v>
      </c>
      <c r="J58" s="154">
        <f>(I58-I57)</f>
        <v>0.69314718055994529</v>
      </c>
      <c r="K58" s="7"/>
      <c r="L58" s="7"/>
      <c r="M58" s="7"/>
      <c r="N58" t="str">
        <f>IF(D58="Buyer",J58,"")</f>
        <v/>
      </c>
      <c r="P58" s="7"/>
      <c r="Q58" s="7"/>
    </row>
    <row r="59" spans="3:20" x14ac:dyDescent="0.25">
      <c r="D59" s="25" t="s">
        <v>75</v>
      </c>
      <c r="E59" s="47">
        <v>500</v>
      </c>
      <c r="F59" s="41">
        <v>503.18</v>
      </c>
      <c r="G59" s="48">
        <f t="shared" si="11"/>
        <v>3.992533395281353E-2</v>
      </c>
      <c r="H59" s="79">
        <f t="shared" si="11"/>
        <v>0.96007466604718639</v>
      </c>
      <c r="I59" s="82">
        <f t="shared" si="12"/>
        <v>503.22074422041226</v>
      </c>
      <c r="J59" s="155">
        <f>(I59-I58)</f>
        <v>502.52759703985231</v>
      </c>
      <c r="K59" s="7"/>
      <c r="L59" s="7" t="s">
        <v>73</v>
      </c>
      <c r="M59" s="7" t="s">
        <v>74</v>
      </c>
      <c r="N59" s="169">
        <f>IF(D59="Buyer",J59,"")</f>
        <v>502.52759703985231</v>
      </c>
      <c r="P59" s="7"/>
      <c r="Q59" s="7"/>
    </row>
    <row r="60" spans="3:20" x14ac:dyDescent="0.25">
      <c r="D60" s="25" t="s">
        <v>76</v>
      </c>
      <c r="E60" s="47">
        <f>IF(MOD(ROW(A60),2)=1,E59+E58,E59)</f>
        <v>500</v>
      </c>
      <c r="F60" s="41">
        <v>503.18</v>
      </c>
      <c r="G60" s="48">
        <f t="shared" si="11"/>
        <v>3.992533395281353E-2</v>
      </c>
      <c r="H60" s="79">
        <f t="shared" si="11"/>
        <v>0.96007466604718639</v>
      </c>
      <c r="I60" s="82">
        <f t="shared" si="12"/>
        <v>503.22074422041226</v>
      </c>
      <c r="J60" s="155">
        <f>(I60-I59)</f>
        <v>0</v>
      </c>
      <c r="K60" s="7"/>
      <c r="L60" s="120">
        <f>$T$4*LN($T$6/$S$6)+E60</f>
        <v>503.17805383034795</v>
      </c>
      <c r="M60" s="120">
        <f t="shared" ref="M60:M66" si="13">IF( D60="Seller",((F60-F59)-J60)*$T$6,"")</f>
        <v>0</v>
      </c>
      <c r="N60" t="str">
        <f>IF(D60="Buyer",J60,"")</f>
        <v/>
      </c>
      <c r="P60" s="160"/>
      <c r="Q60" s="7" t="s">
        <v>87</v>
      </c>
      <c r="R60" s="162"/>
    </row>
    <row r="61" spans="3:20" x14ac:dyDescent="0.25">
      <c r="C61" t="s">
        <v>86</v>
      </c>
      <c r="D61" s="25" t="s">
        <v>75</v>
      </c>
      <c r="E61" s="47">
        <v>510</v>
      </c>
      <c r="F61" s="159">
        <f>F60</f>
        <v>503.18</v>
      </c>
      <c r="G61" s="48">
        <f t="shared" si="11"/>
        <v>0.99890946963253902</v>
      </c>
      <c r="H61" s="79">
        <f t="shared" si="11"/>
        <v>1.0905303674609804E-3</v>
      </c>
      <c r="I61" s="82">
        <f t="shared" si="12"/>
        <v>510.00109112542839</v>
      </c>
      <c r="J61" s="155">
        <f t="shared" ref="J61:J76" si="14">(I61-I60)</f>
        <v>6.7803469050161311</v>
      </c>
      <c r="K61" s="7"/>
      <c r="L61" s="120">
        <f>$T$4*LN($T$6/$S$6)+E61</f>
        <v>513.17805383034795</v>
      </c>
      <c r="M61" s="120" t="str">
        <f t="shared" si="13"/>
        <v/>
      </c>
      <c r="N61">
        <f>IF(D61="Buyer",J61,"")</f>
        <v>6.7803469050161311</v>
      </c>
      <c r="P61" s="7"/>
      <c r="Q61" s="7"/>
    </row>
    <row r="62" spans="3:20" x14ac:dyDescent="0.25">
      <c r="D62" s="25" t="s">
        <v>76</v>
      </c>
      <c r="E62" s="47">
        <v>510</v>
      </c>
      <c r="F62" s="159">
        <v>0</v>
      </c>
      <c r="G62" s="48">
        <f t="shared" ref="G62:G76" si="15">EXP(E62/$T$4)/(EXP($F62/$T$4)+EXP($E62/$T$4))</f>
        <v>1</v>
      </c>
      <c r="H62" s="79">
        <f t="shared" ref="H62:H76" si="16">EXP(F62/$T$4)/(EXP($F62/$T$4)+EXP($E62/$T$4))</f>
        <v>3.2345526845351109E-222</v>
      </c>
      <c r="I62" s="82">
        <f t="shared" si="12"/>
        <v>510</v>
      </c>
      <c r="J62" s="155">
        <f>(I62-I61)</f>
        <v>-1.0911254283882954E-3</v>
      </c>
      <c r="K62" s="7"/>
      <c r="L62" s="120">
        <f t="shared" ref="L62:L75" si="17">$T$4*LN($T$6/$S$6)+E62</f>
        <v>513.17805383034795</v>
      </c>
      <c r="M62" s="120">
        <f t="shared" si="13"/>
        <v>-483.05175251958872</v>
      </c>
      <c r="N62" t="str">
        <f t="shared" ref="N62:N68" si="18">IF(D62="Buyer",J62,"")</f>
        <v/>
      </c>
      <c r="O62" s="7"/>
      <c r="P62" s="7"/>
      <c r="Q62" s="7" t="s">
        <v>96</v>
      </c>
    </row>
    <row r="63" spans="3:20" x14ac:dyDescent="0.25">
      <c r="D63" s="25" t="s">
        <v>75</v>
      </c>
      <c r="E63" s="47"/>
      <c r="F63" s="159"/>
      <c r="G63" s="48">
        <f t="shared" si="15"/>
        <v>0.5</v>
      </c>
      <c r="H63" s="79">
        <f t="shared" si="16"/>
        <v>0.5</v>
      </c>
      <c r="I63" s="82">
        <f t="shared" si="12"/>
        <v>0.69314718055994529</v>
      </c>
      <c r="J63" s="155">
        <f t="shared" si="14"/>
        <v>-509.30685281944005</v>
      </c>
      <c r="K63" s="7"/>
      <c r="L63" s="120">
        <f t="shared" si="17"/>
        <v>3.1780538303479458</v>
      </c>
      <c r="M63" s="120" t="str">
        <f t="shared" si="13"/>
        <v/>
      </c>
      <c r="N63">
        <f t="shared" si="18"/>
        <v>-509.30685281944005</v>
      </c>
      <c r="O63" s="7"/>
      <c r="P63" s="7"/>
      <c r="Q63" s="7"/>
    </row>
    <row r="64" spans="3:20" x14ac:dyDescent="0.25">
      <c r="D64" s="25" t="s">
        <v>76</v>
      </c>
      <c r="E64" s="47"/>
      <c r="F64" s="159"/>
      <c r="G64" s="48">
        <f t="shared" si="15"/>
        <v>0.5</v>
      </c>
      <c r="H64" s="79">
        <f t="shared" si="16"/>
        <v>0.5</v>
      </c>
      <c r="I64" s="82">
        <f t="shared" si="12"/>
        <v>0.69314718055994529</v>
      </c>
      <c r="J64" s="155">
        <f t="shared" si="14"/>
        <v>0</v>
      </c>
      <c r="K64" s="7"/>
      <c r="L64" s="120">
        <f t="shared" si="17"/>
        <v>3.1780538303479458</v>
      </c>
      <c r="M64" s="120">
        <f t="shared" si="13"/>
        <v>0</v>
      </c>
      <c r="N64" t="str">
        <f t="shared" si="18"/>
        <v/>
      </c>
      <c r="O64" s="7"/>
      <c r="P64" s="7"/>
      <c r="Q64" s="7" t="s">
        <v>94</v>
      </c>
    </row>
    <row r="65" spans="4:17" x14ac:dyDescent="0.25">
      <c r="D65" s="25" t="s">
        <v>75</v>
      </c>
      <c r="E65" s="47"/>
      <c r="F65" s="159"/>
      <c r="G65" s="48">
        <f t="shared" si="15"/>
        <v>0.5</v>
      </c>
      <c r="H65" s="79">
        <f t="shared" si="16"/>
        <v>0.5</v>
      </c>
      <c r="I65" s="82">
        <f t="shared" si="12"/>
        <v>0.69314718055994529</v>
      </c>
      <c r="J65" s="155">
        <f t="shared" si="14"/>
        <v>0</v>
      </c>
      <c r="K65" s="7"/>
      <c r="L65" s="120">
        <f t="shared" si="17"/>
        <v>3.1780538303479458</v>
      </c>
      <c r="M65" s="120" t="str">
        <f t="shared" si="13"/>
        <v/>
      </c>
      <c r="N65">
        <f t="shared" si="18"/>
        <v>0</v>
      </c>
      <c r="O65" s="7"/>
      <c r="P65" s="7"/>
      <c r="Q65" s="8" t="s">
        <v>95</v>
      </c>
    </row>
    <row r="66" spans="4:17" x14ac:dyDescent="0.25">
      <c r="D66" s="25" t="s">
        <v>76</v>
      </c>
      <c r="E66" s="47"/>
      <c r="F66" s="159"/>
      <c r="G66" s="48">
        <f t="shared" si="15"/>
        <v>0.5</v>
      </c>
      <c r="H66" s="79">
        <f t="shared" si="16"/>
        <v>0.5</v>
      </c>
      <c r="I66" s="82">
        <f t="shared" si="12"/>
        <v>0.69314718055994529</v>
      </c>
      <c r="J66" s="155">
        <f t="shared" si="14"/>
        <v>0</v>
      </c>
      <c r="K66" s="7"/>
      <c r="L66" s="120">
        <f t="shared" si="17"/>
        <v>3.1780538303479458</v>
      </c>
      <c r="M66" s="120">
        <f t="shared" si="13"/>
        <v>0</v>
      </c>
      <c r="N66" t="str">
        <f t="shared" si="18"/>
        <v/>
      </c>
      <c r="O66" s="7"/>
      <c r="P66" s="7"/>
      <c r="Q66" s="8" t="s">
        <v>92</v>
      </c>
    </row>
    <row r="67" spans="4:17" x14ac:dyDescent="0.25">
      <c r="D67" s="25" t="s">
        <v>75</v>
      </c>
      <c r="E67" s="47"/>
      <c r="F67" s="159"/>
      <c r="G67" s="48">
        <f t="shared" si="15"/>
        <v>0.5</v>
      </c>
      <c r="H67" s="79">
        <f t="shared" si="16"/>
        <v>0.5</v>
      </c>
      <c r="I67" s="82">
        <f t="shared" si="12"/>
        <v>0.69314718055994529</v>
      </c>
      <c r="J67" s="155">
        <f t="shared" si="14"/>
        <v>0</v>
      </c>
      <c r="K67" s="7"/>
      <c r="L67" s="120">
        <f t="shared" si="17"/>
        <v>3.1780538303479458</v>
      </c>
      <c r="M67" s="120" t="str">
        <f t="shared" ref="M67:M73" si="19">IF( D67="Seller",((F67-F66)-J67)*$T$6,"")</f>
        <v/>
      </c>
      <c r="N67">
        <f t="shared" si="18"/>
        <v>0</v>
      </c>
      <c r="O67" s="7"/>
      <c r="P67" s="7"/>
      <c r="Q67" s="8" t="s">
        <v>93</v>
      </c>
    </row>
    <row r="68" spans="4:17" x14ac:dyDescent="0.25">
      <c r="D68" s="25" t="s">
        <v>76</v>
      </c>
      <c r="E68" s="47"/>
      <c r="F68" s="159"/>
      <c r="G68" s="48">
        <f t="shared" si="15"/>
        <v>0.5</v>
      </c>
      <c r="H68" s="79">
        <f t="shared" si="16"/>
        <v>0.5</v>
      </c>
      <c r="I68" s="82">
        <f t="shared" si="12"/>
        <v>0.69314718055994529</v>
      </c>
      <c r="J68" s="155">
        <f t="shared" si="14"/>
        <v>0</v>
      </c>
      <c r="K68" s="7"/>
      <c r="L68" s="120">
        <f t="shared" si="17"/>
        <v>3.1780538303479458</v>
      </c>
      <c r="M68" s="120">
        <f t="shared" si="19"/>
        <v>0</v>
      </c>
      <c r="N68" t="str">
        <f t="shared" si="18"/>
        <v/>
      </c>
      <c r="O68" s="7"/>
      <c r="P68" s="7"/>
      <c r="Q68" s="7"/>
    </row>
    <row r="69" spans="4:17" x14ac:dyDescent="0.25">
      <c r="D69" s="25" t="s">
        <v>75</v>
      </c>
      <c r="E69" s="47"/>
      <c r="F69" s="159"/>
      <c r="G69" s="48">
        <f t="shared" si="15"/>
        <v>0.5</v>
      </c>
      <c r="H69" s="79">
        <f t="shared" si="16"/>
        <v>0.5</v>
      </c>
      <c r="I69" s="82">
        <f t="shared" si="12"/>
        <v>0.69314718055994529</v>
      </c>
      <c r="J69" s="155">
        <f t="shared" si="14"/>
        <v>0</v>
      </c>
      <c r="K69" s="7"/>
      <c r="L69" s="120">
        <f t="shared" si="17"/>
        <v>3.1780538303479458</v>
      </c>
      <c r="M69" s="120" t="str">
        <f t="shared" si="19"/>
        <v/>
      </c>
      <c r="N69">
        <f>IF(D69="Buyer",J69,"")</f>
        <v>0</v>
      </c>
      <c r="O69" s="7"/>
      <c r="P69" s="7"/>
      <c r="Q69" s="7"/>
    </row>
    <row r="70" spans="4:17" x14ac:dyDescent="0.25">
      <c r="D70" s="25" t="s">
        <v>76</v>
      </c>
      <c r="E70" s="47"/>
      <c r="F70" s="159"/>
      <c r="G70" s="48">
        <f t="shared" si="15"/>
        <v>0.5</v>
      </c>
      <c r="H70" s="79">
        <f t="shared" si="16"/>
        <v>0.5</v>
      </c>
      <c r="I70" s="82">
        <f t="shared" si="12"/>
        <v>0.69314718055994529</v>
      </c>
      <c r="J70" s="155">
        <f t="shared" si="14"/>
        <v>0</v>
      </c>
      <c r="K70" s="7"/>
      <c r="L70" s="120">
        <f t="shared" si="17"/>
        <v>3.1780538303479458</v>
      </c>
      <c r="M70" s="120">
        <f t="shared" si="19"/>
        <v>0</v>
      </c>
      <c r="N70" t="str">
        <f>IF(D70="Buyer",J70,"")</f>
        <v/>
      </c>
      <c r="O70" s="7"/>
      <c r="P70" s="7"/>
      <c r="Q70" s="7"/>
    </row>
    <row r="71" spans="4:17" x14ac:dyDescent="0.25">
      <c r="D71" s="25" t="s">
        <v>75</v>
      </c>
      <c r="E71" s="47"/>
      <c r="F71" s="159"/>
      <c r="G71" s="48">
        <f t="shared" si="15"/>
        <v>0.5</v>
      </c>
      <c r="H71" s="79">
        <f t="shared" si="16"/>
        <v>0.5</v>
      </c>
      <c r="I71" s="82">
        <f t="shared" si="12"/>
        <v>0.69314718055994529</v>
      </c>
      <c r="J71" s="155">
        <f t="shared" si="14"/>
        <v>0</v>
      </c>
      <c r="K71" s="7"/>
      <c r="L71" s="120">
        <f t="shared" si="17"/>
        <v>3.1780538303479458</v>
      </c>
      <c r="M71" s="120" t="str">
        <f t="shared" si="19"/>
        <v/>
      </c>
      <c r="N71">
        <f t="shared" ref="N71:N76" si="20">IF(D71="Buyer",J71,"")</f>
        <v>0</v>
      </c>
      <c r="O71" s="7"/>
      <c r="P71" s="7"/>
      <c r="Q71" s="7"/>
    </row>
    <row r="72" spans="4:17" x14ac:dyDescent="0.25">
      <c r="D72" s="25" t="s">
        <v>76</v>
      </c>
      <c r="E72" s="47"/>
      <c r="F72" s="159"/>
      <c r="G72" s="48">
        <f t="shared" si="15"/>
        <v>0.5</v>
      </c>
      <c r="H72" s="79">
        <f t="shared" si="16"/>
        <v>0.5</v>
      </c>
      <c r="I72" s="82">
        <f t="shared" si="12"/>
        <v>0.69314718055994529</v>
      </c>
      <c r="J72" s="155">
        <f t="shared" si="14"/>
        <v>0</v>
      </c>
      <c r="K72" s="7"/>
      <c r="L72" s="120">
        <f t="shared" si="17"/>
        <v>3.1780538303479458</v>
      </c>
      <c r="M72" s="120">
        <f t="shared" si="19"/>
        <v>0</v>
      </c>
      <c r="N72" t="str">
        <f t="shared" si="20"/>
        <v/>
      </c>
      <c r="O72" s="7"/>
      <c r="P72" s="7"/>
      <c r="Q72" s="7"/>
    </row>
    <row r="73" spans="4:17" x14ac:dyDescent="0.25">
      <c r="D73" s="25" t="s">
        <v>75</v>
      </c>
      <c r="E73" s="47"/>
      <c r="F73" s="159"/>
      <c r="G73" s="48">
        <f t="shared" si="15"/>
        <v>0.5</v>
      </c>
      <c r="H73" s="79">
        <f t="shared" si="16"/>
        <v>0.5</v>
      </c>
      <c r="I73" s="82">
        <f t="shared" si="12"/>
        <v>0.69314718055994529</v>
      </c>
      <c r="J73" s="155">
        <f t="shared" si="14"/>
        <v>0</v>
      </c>
      <c r="K73" s="7"/>
      <c r="L73" s="120">
        <f t="shared" si="17"/>
        <v>3.1780538303479458</v>
      </c>
      <c r="M73" s="120" t="str">
        <f t="shared" si="19"/>
        <v/>
      </c>
      <c r="N73">
        <f t="shared" si="20"/>
        <v>0</v>
      </c>
      <c r="O73" s="7"/>
      <c r="P73" s="7"/>
      <c r="Q73" s="7"/>
    </row>
    <row r="74" spans="4:17" x14ac:dyDescent="0.25">
      <c r="D74" s="25" t="s">
        <v>76</v>
      </c>
      <c r="E74" s="47"/>
      <c r="F74" s="159"/>
      <c r="G74" s="48">
        <f t="shared" si="15"/>
        <v>0.5</v>
      </c>
      <c r="H74" s="79">
        <f t="shared" si="16"/>
        <v>0.5</v>
      </c>
      <c r="I74" s="82">
        <f t="shared" si="12"/>
        <v>0.69314718055994529</v>
      </c>
      <c r="J74" s="155">
        <f t="shared" si="14"/>
        <v>0</v>
      </c>
      <c r="K74" s="7"/>
      <c r="L74" s="120">
        <f t="shared" si="17"/>
        <v>3.1780538303479458</v>
      </c>
      <c r="M74" s="120">
        <f>IF( D74="Seller",((F74-F73)-J74)*$T$6,"")</f>
        <v>0</v>
      </c>
      <c r="N74" t="str">
        <f t="shared" si="20"/>
        <v/>
      </c>
      <c r="O74" s="7"/>
      <c r="P74" s="7"/>
      <c r="Q74" s="7"/>
    </row>
    <row r="75" spans="4:17" x14ac:dyDescent="0.25">
      <c r="D75" s="21" t="s">
        <v>77</v>
      </c>
      <c r="E75" s="47"/>
      <c r="F75" s="159"/>
      <c r="G75" s="48">
        <f t="shared" si="15"/>
        <v>0.5</v>
      </c>
      <c r="H75" s="79">
        <f t="shared" si="16"/>
        <v>0.5</v>
      </c>
      <c r="I75" s="82">
        <f t="shared" si="12"/>
        <v>0.69314718055994529</v>
      </c>
      <c r="J75" s="155">
        <f t="shared" si="14"/>
        <v>0</v>
      </c>
      <c r="K75" s="7"/>
      <c r="L75" s="120">
        <f t="shared" si="17"/>
        <v>3.1780538303479458</v>
      </c>
      <c r="M75" s="120" t="str">
        <f>IF( D75="Seller",((F75-F74)-J75)*$T$6,"")</f>
        <v/>
      </c>
      <c r="N75" t="str">
        <f t="shared" si="20"/>
        <v/>
      </c>
      <c r="O75" s="7"/>
      <c r="P75" s="7"/>
      <c r="Q75" s="7"/>
    </row>
    <row r="76" spans="4:17" ht="15.75" thickBot="1" x14ac:dyDescent="0.3">
      <c r="D76" s="25" t="s">
        <v>38</v>
      </c>
      <c r="E76" s="47"/>
      <c r="F76" s="161"/>
      <c r="G76" s="48">
        <f t="shared" si="15"/>
        <v>0.5</v>
      </c>
      <c r="H76" s="79">
        <f t="shared" si="16"/>
        <v>0.5</v>
      </c>
      <c r="I76" s="112">
        <f t="shared" si="12"/>
        <v>0.69314718055994529</v>
      </c>
      <c r="J76" s="156">
        <f t="shared" si="14"/>
        <v>0</v>
      </c>
      <c r="K76" s="7"/>
      <c r="L76" s="120">
        <f>$T$4*LN($T$6/$S$6)+E76</f>
        <v>3.1780538303479458</v>
      </c>
      <c r="M76" s="120" t="str">
        <f>IF( D76="Seller",((F76-F75)-J76)*$T$6,"")</f>
        <v/>
      </c>
      <c r="N76" t="str">
        <f t="shared" si="20"/>
        <v/>
      </c>
      <c r="O76" s="7"/>
      <c r="P76" s="7"/>
      <c r="Q76" s="7"/>
    </row>
    <row r="77" spans="4:17" ht="16.5" thickTop="1" thickBot="1" x14ac:dyDescent="0.3">
      <c r="D77" s="25" t="s">
        <v>0</v>
      </c>
      <c r="E77" s="51">
        <f>E76</f>
        <v>0</v>
      </c>
      <c r="F77" s="163">
        <f>F76</f>
        <v>0</v>
      </c>
      <c r="G77" s="52">
        <f>EXP(E77)/(EXP($F77)+EXP($E77))</f>
        <v>0.5</v>
      </c>
      <c r="H77" s="80">
        <f>EXP(F77)/(EXP($F77)+EXP($E77))</f>
        <v>0.5</v>
      </c>
      <c r="I77" s="83">
        <f t="shared" si="12"/>
        <v>0.69314718055994529</v>
      </c>
      <c r="J77" s="157">
        <f>SUM(J58:J76)</f>
        <v>0.69314718055994717</v>
      </c>
      <c r="K77" s="8" t="s">
        <v>43</v>
      </c>
      <c r="L77" s="7"/>
      <c r="M77" s="7"/>
      <c r="N77" s="7"/>
      <c r="O77" s="7"/>
      <c r="P77" s="7"/>
      <c r="Q77" s="8"/>
    </row>
    <row r="78" spans="4:17" ht="15.75" thickBot="1" x14ac:dyDescent="0.3">
      <c r="E78" s="33"/>
      <c r="F78" s="33"/>
      <c r="G78" s="33"/>
      <c r="H78" s="33"/>
      <c r="I78" s="111">
        <v>0</v>
      </c>
      <c r="J78" s="158">
        <f>J77-(SUMPRODUCT(G77:H77,E77:F77))</f>
        <v>0.69314718055994717</v>
      </c>
      <c r="K78" t="s">
        <v>57</v>
      </c>
      <c r="L78" s="7"/>
      <c r="M78" s="7"/>
      <c r="N78" s="7"/>
      <c r="O78" s="7"/>
      <c r="P78" s="7"/>
    </row>
    <row r="80" spans="4:17" x14ac:dyDescent="0.25">
      <c r="M80" t="s">
        <v>80</v>
      </c>
      <c r="N80" t="s">
        <v>81</v>
      </c>
      <c r="O80" t="s">
        <v>82</v>
      </c>
    </row>
    <row r="81" spans="13:15" x14ac:dyDescent="0.25">
      <c r="M81">
        <f>M60+(M74*($S$8-1))</f>
        <v>0</v>
      </c>
      <c r="N81">
        <f>N59+(N73*($S$8-1))</f>
        <v>502.52759703985231</v>
      </c>
      <c r="O81">
        <f>K53</f>
        <v>0.69314718055994529</v>
      </c>
    </row>
    <row r="83" spans="13:15" x14ac:dyDescent="0.25">
      <c r="M83" t="s">
        <v>79</v>
      </c>
    </row>
    <row r="85" spans="13:15" x14ac:dyDescent="0.25">
      <c r="M85" t="s">
        <v>84</v>
      </c>
    </row>
    <row r="86" spans="13:15" x14ac:dyDescent="0.25">
      <c r="N86">
        <f>S53*S54</f>
        <v>20</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B2:N51"/>
  <sheetViews>
    <sheetView workbookViewId="0">
      <selection activeCell="D30" sqref="D30"/>
    </sheetView>
  </sheetViews>
  <sheetFormatPr defaultRowHeight="15" x14ac:dyDescent="0.25"/>
  <cols>
    <col min="2" max="2" width="14.42578125" customWidth="1"/>
    <col min="3" max="3" width="13.28515625" customWidth="1"/>
    <col min="4" max="4" width="13.85546875" customWidth="1"/>
    <col min="5" max="5" width="10.5703125" bestFit="1" customWidth="1"/>
    <col min="6" max="6" width="13.7109375" customWidth="1"/>
  </cols>
  <sheetData>
    <row r="2" spans="2:14" ht="23.25" x14ac:dyDescent="0.35">
      <c r="B2" s="751" t="s">
        <v>322</v>
      </c>
    </row>
    <row r="3" spans="2:14" ht="15.75" thickBot="1" x14ac:dyDescent="0.3">
      <c r="I3" s="7"/>
      <c r="J3" s="7"/>
      <c r="K3" s="7"/>
      <c r="L3" s="7"/>
      <c r="M3" s="7"/>
      <c r="N3" s="7"/>
    </row>
    <row r="4" spans="2:14" ht="35.25" customHeight="1" thickBot="1" x14ac:dyDescent="0.3">
      <c r="B4" s="726" t="s">
        <v>280</v>
      </c>
      <c r="C4" s="274"/>
      <c r="D4" s="727" t="s">
        <v>281</v>
      </c>
      <c r="F4" s="94" t="s">
        <v>282</v>
      </c>
      <c r="G4" s="95"/>
      <c r="I4" s="7"/>
      <c r="J4" s="7"/>
      <c r="K4" s="7"/>
      <c r="L4" s="7"/>
      <c r="M4" s="7"/>
      <c r="N4" s="7"/>
    </row>
    <row r="5" spans="2:14" ht="15.75" thickTop="1" x14ac:dyDescent="0.25">
      <c r="B5" s="180" t="s">
        <v>283</v>
      </c>
      <c r="C5" s="728">
        <v>8</v>
      </c>
      <c r="D5" s="181">
        <f>C5^1</f>
        <v>8</v>
      </c>
      <c r="F5" s="114" t="s">
        <v>284</v>
      </c>
      <c r="G5" s="729">
        <f>C5</f>
        <v>8</v>
      </c>
      <c r="I5" s="7"/>
      <c r="J5" s="7"/>
      <c r="K5" s="7"/>
      <c r="L5" s="7"/>
      <c r="M5" s="7"/>
      <c r="N5" s="7"/>
    </row>
    <row r="6" spans="2:14" x14ac:dyDescent="0.25">
      <c r="B6" s="180" t="s">
        <v>285</v>
      </c>
      <c r="C6" s="730">
        <v>90</v>
      </c>
      <c r="D6" s="181">
        <f>C5^2</f>
        <v>64</v>
      </c>
      <c r="F6" s="114" t="s">
        <v>286</v>
      </c>
      <c r="G6" s="729">
        <f>C6-(C5^2)</f>
        <v>26</v>
      </c>
      <c r="I6" s="7"/>
      <c r="J6" s="7"/>
      <c r="K6" s="7"/>
      <c r="L6" s="7"/>
      <c r="M6" s="7"/>
      <c r="N6" s="7"/>
    </row>
    <row r="7" spans="2:14" x14ac:dyDescent="0.25">
      <c r="B7" s="180" t="s">
        <v>287</v>
      </c>
      <c r="C7" s="730">
        <v>1040.3858530267407</v>
      </c>
      <c r="D7" s="181">
        <f>C5^3</f>
        <v>512</v>
      </c>
      <c r="F7" s="114" t="s">
        <v>288</v>
      </c>
      <c r="G7" s="729">
        <f>(C7-(3*C5*G6)-(C5^3))/(G6^(3/2))</f>
        <v>-0.72121065265114992</v>
      </c>
      <c r="I7" s="7"/>
      <c r="J7" s="7"/>
      <c r="K7" s="7"/>
      <c r="L7" s="7"/>
      <c r="M7" s="7"/>
      <c r="N7" s="7"/>
    </row>
    <row r="8" spans="2:14" ht="15.75" thickBot="1" x14ac:dyDescent="0.3">
      <c r="B8" s="180" t="s">
        <v>289</v>
      </c>
      <c r="C8" s="731">
        <v>3136.0049314625335</v>
      </c>
      <c r="D8" s="181">
        <f>C5^4</f>
        <v>4096</v>
      </c>
      <c r="F8" s="119" t="s">
        <v>290</v>
      </c>
      <c r="G8" s="732">
        <f>C8-(4*C5*C7)+(6*(C5^2)*C6)-(4*(C5^3)*C5)+(C5^4)</f>
        <v>-7884.3423653931713</v>
      </c>
      <c r="I8" s="7"/>
      <c r="J8" s="7"/>
      <c r="K8" s="7"/>
      <c r="L8" s="7"/>
      <c r="M8" s="7"/>
      <c r="N8" s="7"/>
    </row>
    <row r="9" spans="2:14" ht="15.75" thickBot="1" x14ac:dyDescent="0.3">
      <c r="B9" s="119"/>
      <c r="C9" s="166"/>
      <c r="D9" s="102"/>
      <c r="I9" s="7"/>
      <c r="J9" s="7"/>
      <c r="K9" s="7"/>
      <c r="L9" s="7"/>
      <c r="M9" s="7"/>
      <c r="N9" s="7"/>
    </row>
    <row r="10" spans="2:14" ht="15.75" thickBot="1" x14ac:dyDescent="0.3">
      <c r="I10" s="7"/>
      <c r="J10" s="7"/>
      <c r="K10" s="7"/>
      <c r="L10" s="7"/>
      <c r="M10" s="7"/>
      <c r="N10" s="7"/>
    </row>
    <row r="11" spans="2:14" ht="15.75" thickBot="1" x14ac:dyDescent="0.3">
      <c r="C11" s="94" t="s">
        <v>291</v>
      </c>
      <c r="D11" s="95"/>
    </row>
    <row r="12" spans="2:14" ht="15.75" thickBot="1" x14ac:dyDescent="0.3">
      <c r="C12" s="733" t="s">
        <v>292</v>
      </c>
      <c r="D12" s="734" t="s">
        <v>293</v>
      </c>
      <c r="E12" s="735" t="s">
        <v>294</v>
      </c>
      <c r="F12" s="736" t="s">
        <v>295</v>
      </c>
    </row>
    <row r="13" spans="2:14" ht="15.75" thickTop="1" x14ac:dyDescent="0.25">
      <c r="C13" s="114" t="s">
        <v>262</v>
      </c>
      <c r="D13" s="667">
        <f>G5</f>
        <v>8</v>
      </c>
      <c r="E13" s="668"/>
      <c r="F13" s="737" t="str">
        <f>"Goal: "&amp;G6</f>
        <v>Goal: 26</v>
      </c>
    </row>
    <row r="14" spans="2:14" x14ac:dyDescent="0.25">
      <c r="C14" s="114" t="s">
        <v>265</v>
      </c>
      <c r="D14" s="667">
        <f>SQRT(G6)</f>
        <v>5.0990195135927845</v>
      </c>
      <c r="E14" s="668"/>
      <c r="F14" s="737" t="str">
        <f>"Goal: "&amp;G5</f>
        <v>Goal: 8</v>
      </c>
      <c r="H14" t="s">
        <v>296</v>
      </c>
      <c r="I14" t="s">
        <v>187</v>
      </c>
    </row>
    <row r="15" spans="2:14" x14ac:dyDescent="0.25">
      <c r="C15" s="114" t="s">
        <v>297</v>
      </c>
      <c r="D15" s="667" t="s">
        <v>298</v>
      </c>
      <c r="E15" s="668"/>
      <c r="F15" s="737" t="s">
        <v>299</v>
      </c>
    </row>
    <row r="16" spans="2:14" x14ac:dyDescent="0.25">
      <c r="C16" s="114" t="s">
        <v>300</v>
      </c>
      <c r="D16" s="667" t="s">
        <v>301</v>
      </c>
      <c r="E16" s="668"/>
      <c r="F16" s="737" t="s">
        <v>302</v>
      </c>
    </row>
    <row r="17" spans="2:6" x14ac:dyDescent="0.25">
      <c r="C17" s="114" t="s">
        <v>4</v>
      </c>
      <c r="D17" s="667"/>
      <c r="E17" s="668">
        <v>0</v>
      </c>
      <c r="F17" s="737"/>
    </row>
    <row r="18" spans="2:6" x14ac:dyDescent="0.25">
      <c r="C18" s="114" t="s">
        <v>5</v>
      </c>
      <c r="D18" s="667"/>
      <c r="E18" s="668">
        <f>G5+3*SQRT(G6)</f>
        <v>23.297058540778352</v>
      </c>
      <c r="F18" s="737"/>
    </row>
    <row r="19" spans="2:6" x14ac:dyDescent="0.25">
      <c r="C19" s="114" t="s">
        <v>303</v>
      </c>
      <c r="D19" s="667"/>
      <c r="E19" s="668">
        <f>( (G5-E17)*(E18-G5)/G6 ) -1</f>
        <v>3.7067872433164162</v>
      </c>
      <c r="F19" s="737">
        <f>AVERAGE(1/G5,SQRT(1/G6))</f>
        <v>0.16055806756909202</v>
      </c>
    </row>
    <row r="20" spans="2:6" x14ac:dyDescent="0.25">
      <c r="C20" s="114" t="s">
        <v>304</v>
      </c>
      <c r="D20" s="667"/>
      <c r="E20" s="668">
        <f>E19*(G5-E17)/(E18-E17)</f>
        <v>1.2728773417736616</v>
      </c>
      <c r="F20" s="737"/>
    </row>
    <row r="21" spans="2:6" ht="15.75" thickBot="1" x14ac:dyDescent="0.3">
      <c r="C21" s="119" t="s">
        <v>294</v>
      </c>
      <c r="D21" s="738"/>
      <c r="E21" s="739">
        <f>E19*(E18-G5)/(E18-E17)</f>
        <v>2.4339099015427546</v>
      </c>
      <c r="F21" s="740"/>
    </row>
    <row r="23" spans="2:6" ht="15.75" thickBot="1" x14ac:dyDescent="0.3"/>
    <row r="24" spans="2:6" ht="15.75" thickBot="1" x14ac:dyDescent="0.3">
      <c r="C24" s="94" t="s">
        <v>305</v>
      </c>
      <c r="D24" s="95"/>
    </row>
    <row r="25" spans="2:6" x14ac:dyDescent="0.25">
      <c r="C25" s="9" t="s">
        <v>72</v>
      </c>
      <c r="D25" s="1707" t="s">
        <v>306</v>
      </c>
      <c r="E25" s="1708"/>
      <c r="F25" s="1709"/>
    </row>
    <row r="26" spans="2:6" ht="15.75" thickBot="1" x14ac:dyDescent="0.3">
      <c r="C26" s="129" t="s">
        <v>283</v>
      </c>
      <c r="D26" s="741" t="s">
        <v>293</v>
      </c>
      <c r="E26" s="13" t="s">
        <v>294</v>
      </c>
      <c r="F26" s="130" t="s">
        <v>295</v>
      </c>
    </row>
    <row r="27" spans="2:6" ht="15.75" thickTop="1" x14ac:dyDescent="0.25">
      <c r="B27">
        <f>-3</f>
        <v>-3</v>
      </c>
      <c r="C27" s="742">
        <f t="shared" ref="C27:C51" si="0">$G$5+(B27*SQRT($G$6))</f>
        <v>-7.2970585407783535</v>
      </c>
      <c r="D27" s="743">
        <f t="shared" ref="D27:D51" si="1">_xlfn.NORM.DIST(C27,$D$13,$D$14,FALSE)</f>
        <v>8.6915698206758052E-4</v>
      </c>
      <c r="E27" s="744">
        <f t="shared" ref="E27:E51" si="2">IF( C27 &lt; 0.001, 0, _xlfn.BETA.DIST(C27,$E$20,$E$21,FALSE,$E$17,$E$18))</f>
        <v>0</v>
      </c>
      <c r="F27" s="745">
        <f t="shared" ref="F27:F51" si="3">IF( C27 &lt; 0.001, 0, _xlfn.EXPON.DIST(C27,$F$19,FALSE) )</f>
        <v>0</v>
      </c>
    </row>
    <row r="28" spans="2:6" x14ac:dyDescent="0.25">
      <c r="B28">
        <f t="shared" ref="B28:B51" si="4">B27+0.25</f>
        <v>-2.75</v>
      </c>
      <c r="C28" s="742">
        <f t="shared" si="0"/>
        <v>-6.0223036623801569</v>
      </c>
      <c r="D28" s="743">
        <f t="shared" si="1"/>
        <v>1.7833943324495538E-3</v>
      </c>
      <c r="E28" s="744">
        <f t="shared" si="2"/>
        <v>0</v>
      </c>
      <c r="F28" s="745">
        <f t="shared" si="3"/>
        <v>0</v>
      </c>
    </row>
    <row r="29" spans="2:6" x14ac:dyDescent="0.25">
      <c r="B29">
        <f t="shared" si="4"/>
        <v>-2.5</v>
      </c>
      <c r="C29" s="742">
        <f t="shared" si="0"/>
        <v>-4.7475487839819621</v>
      </c>
      <c r="D29" s="743">
        <f t="shared" si="1"/>
        <v>3.4375825483393858E-3</v>
      </c>
      <c r="E29" s="744">
        <f t="shared" si="2"/>
        <v>0</v>
      </c>
      <c r="F29" s="745">
        <f t="shared" si="3"/>
        <v>0</v>
      </c>
    </row>
    <row r="30" spans="2:6" x14ac:dyDescent="0.25">
      <c r="B30">
        <f t="shared" si="4"/>
        <v>-2.25</v>
      </c>
      <c r="C30" s="742">
        <f t="shared" si="0"/>
        <v>-3.4727939055837656</v>
      </c>
      <c r="D30" s="743">
        <f t="shared" si="1"/>
        <v>6.2246578486426628E-3</v>
      </c>
      <c r="E30" s="744">
        <f t="shared" si="2"/>
        <v>0</v>
      </c>
      <c r="F30" s="745">
        <f t="shared" si="3"/>
        <v>0</v>
      </c>
    </row>
    <row r="31" spans="2:6" x14ac:dyDescent="0.25">
      <c r="B31">
        <f t="shared" si="4"/>
        <v>-2</v>
      </c>
      <c r="C31" s="742">
        <f t="shared" si="0"/>
        <v>-2.198039027185569</v>
      </c>
      <c r="D31" s="743">
        <f t="shared" si="1"/>
        <v>1.058849968494156E-2</v>
      </c>
      <c r="E31" s="744">
        <f t="shared" si="2"/>
        <v>0</v>
      </c>
      <c r="F31" s="745">
        <f t="shared" si="3"/>
        <v>0</v>
      </c>
    </row>
    <row r="32" spans="2:6" x14ac:dyDescent="0.25">
      <c r="B32">
        <f t="shared" si="4"/>
        <v>-1.75</v>
      </c>
      <c r="C32" s="742">
        <f t="shared" si="0"/>
        <v>-0.92328414878737242</v>
      </c>
      <c r="D32" s="743">
        <f t="shared" si="1"/>
        <v>1.6920374318340325E-2</v>
      </c>
      <c r="E32" s="744">
        <f t="shared" si="2"/>
        <v>0</v>
      </c>
      <c r="F32" s="745">
        <f t="shared" si="3"/>
        <v>0</v>
      </c>
    </row>
    <row r="33" spans="2:6" x14ac:dyDescent="0.25">
      <c r="B33">
        <f t="shared" si="4"/>
        <v>-1.5</v>
      </c>
      <c r="C33" s="742">
        <f t="shared" si="0"/>
        <v>0.35147072961082326</v>
      </c>
      <c r="D33" s="743">
        <f t="shared" si="1"/>
        <v>2.5400490294384705E-2</v>
      </c>
      <c r="E33" s="744">
        <f t="shared" si="2"/>
        <v>4.9061143884288699E-2</v>
      </c>
      <c r="F33" s="745">
        <f t="shared" si="3"/>
        <v>0.15174844878209037</v>
      </c>
    </row>
    <row r="34" spans="2:6" x14ac:dyDescent="0.25">
      <c r="B34">
        <f t="shared" si="4"/>
        <v>-1.25</v>
      </c>
      <c r="C34" s="742">
        <f t="shared" si="0"/>
        <v>1.6262256080090189</v>
      </c>
      <c r="D34" s="743">
        <f t="shared" si="1"/>
        <v>3.5820432713019143E-2</v>
      </c>
      <c r="E34" s="744">
        <f t="shared" si="2"/>
        <v>6.8657170213610924E-2</v>
      </c>
      <c r="F34" s="745">
        <f t="shared" si="3"/>
        <v>0.12366199881475126</v>
      </c>
    </row>
    <row r="35" spans="2:6" x14ac:dyDescent="0.25">
      <c r="B35">
        <f t="shared" si="4"/>
        <v>-1</v>
      </c>
      <c r="C35" s="742">
        <f t="shared" si="0"/>
        <v>2.9009804864072155</v>
      </c>
      <c r="D35" s="743">
        <f t="shared" si="1"/>
        <v>4.7454363309280621E-2</v>
      </c>
      <c r="E35" s="744">
        <f t="shared" si="2"/>
        <v>7.3709610614823118E-2</v>
      </c>
      <c r="F35" s="745">
        <f t="shared" si="3"/>
        <v>0.10077394578720968</v>
      </c>
    </row>
    <row r="36" spans="2:6" x14ac:dyDescent="0.25">
      <c r="B36">
        <f t="shared" si="4"/>
        <v>-0.75</v>
      </c>
      <c r="C36" s="742">
        <f t="shared" si="0"/>
        <v>4.1757353648054121</v>
      </c>
      <c r="D36" s="743">
        <f t="shared" si="1"/>
        <v>5.9057909339637359E-2</v>
      </c>
      <c r="E36" s="744">
        <f t="shared" si="2"/>
        <v>7.4216320197830199E-2</v>
      </c>
      <c r="F36" s="745">
        <f t="shared" si="3"/>
        <v>8.2122141376159516E-2</v>
      </c>
    </row>
    <row r="37" spans="2:6" x14ac:dyDescent="0.25">
      <c r="B37">
        <f t="shared" si="4"/>
        <v>-0.5</v>
      </c>
      <c r="C37" s="742">
        <f t="shared" si="0"/>
        <v>5.4504902432036078</v>
      </c>
      <c r="D37" s="743">
        <f t="shared" si="1"/>
        <v>6.904569120117629E-2</v>
      </c>
      <c r="E37" s="744">
        <f t="shared" si="2"/>
        <v>7.229486852368415E-2</v>
      </c>
      <c r="F37" s="745">
        <f t="shared" si="3"/>
        <v>6.6922517040727922E-2</v>
      </c>
    </row>
    <row r="38" spans="2:6" x14ac:dyDescent="0.25">
      <c r="B38">
        <f t="shared" si="4"/>
        <v>-0.25</v>
      </c>
      <c r="C38" s="742">
        <f t="shared" si="0"/>
        <v>6.7252451216018034</v>
      </c>
      <c r="D38" s="743">
        <f t="shared" si="1"/>
        <v>7.5831856648534715E-2</v>
      </c>
      <c r="E38" s="744">
        <f t="shared" si="2"/>
        <v>6.8843627702764296E-2</v>
      </c>
      <c r="F38" s="745">
        <f t="shared" si="3"/>
        <v>5.4536124022293062E-2</v>
      </c>
    </row>
    <row r="39" spans="2:6" x14ac:dyDescent="0.25">
      <c r="B39">
        <f t="shared" si="4"/>
        <v>0</v>
      </c>
      <c r="C39" s="742">
        <f t="shared" si="0"/>
        <v>8</v>
      </c>
      <c r="D39" s="743">
        <f t="shared" si="1"/>
        <v>7.8239018175542685E-2</v>
      </c>
      <c r="E39" s="744">
        <f t="shared" si="2"/>
        <v>6.4355848844021221E-2</v>
      </c>
      <c r="F39" s="745">
        <f t="shared" si="3"/>
        <v>4.4442273765119868E-2</v>
      </c>
    </row>
    <row r="40" spans="2:6" x14ac:dyDescent="0.25">
      <c r="B40">
        <f t="shared" si="4"/>
        <v>0.25</v>
      </c>
      <c r="C40" s="742">
        <f t="shared" si="0"/>
        <v>9.2747548783981966</v>
      </c>
      <c r="D40" s="743">
        <f t="shared" si="1"/>
        <v>7.5831856648534715E-2</v>
      </c>
      <c r="E40" s="744">
        <f t="shared" si="2"/>
        <v>5.9145915020795303E-2</v>
      </c>
      <c r="F40" s="745">
        <f t="shared" si="3"/>
        <v>3.6216649657875966E-2</v>
      </c>
    </row>
    <row r="41" spans="2:6" x14ac:dyDescent="0.25">
      <c r="B41">
        <f t="shared" si="4"/>
        <v>0.5</v>
      </c>
      <c r="C41" s="742">
        <f t="shared" si="0"/>
        <v>10.549509756796393</v>
      </c>
      <c r="D41" s="743">
        <f t="shared" si="1"/>
        <v>6.9045691201176276E-2</v>
      </c>
      <c r="E41" s="744">
        <f t="shared" si="2"/>
        <v>5.3435928402381032E-2</v>
      </c>
      <c r="F41" s="745">
        <f t="shared" si="3"/>
        <v>2.9513469976209038E-2</v>
      </c>
    </row>
    <row r="42" spans="2:6" x14ac:dyDescent="0.25">
      <c r="B42">
        <f t="shared" si="4"/>
        <v>0.75</v>
      </c>
      <c r="C42" s="742">
        <f t="shared" si="0"/>
        <v>11.824264635194588</v>
      </c>
      <c r="D42" s="743">
        <f t="shared" si="1"/>
        <v>5.9057909339637359E-2</v>
      </c>
      <c r="E42" s="744">
        <f t="shared" si="2"/>
        <v>4.7395825553637964E-2</v>
      </c>
      <c r="F42" s="745">
        <f t="shared" si="3"/>
        <v>2.4050952207479187E-2</v>
      </c>
    </row>
    <row r="43" spans="2:6" x14ac:dyDescent="0.25">
      <c r="B43">
        <f t="shared" si="4"/>
        <v>1</v>
      </c>
      <c r="C43" s="742">
        <f t="shared" si="0"/>
        <v>13.099019513592784</v>
      </c>
      <c r="D43" s="743">
        <f t="shared" si="1"/>
        <v>4.7454363309280621E-2</v>
      </c>
      <c r="E43" s="744">
        <f t="shared" si="2"/>
        <v>4.116474020631463E-2</v>
      </c>
      <c r="F43" s="745">
        <f t="shared" si="3"/>
        <v>1.9599467719408729E-2</v>
      </c>
    </row>
    <row r="44" spans="2:6" x14ac:dyDescent="0.25">
      <c r="B44">
        <f t="shared" si="4"/>
        <v>1.25</v>
      </c>
      <c r="C44" s="742">
        <f t="shared" si="0"/>
        <v>14.373774391990981</v>
      </c>
      <c r="D44" s="743">
        <f t="shared" si="1"/>
        <v>3.5820432713019143E-2</v>
      </c>
      <c r="E44" s="744">
        <f t="shared" si="2"/>
        <v>3.4863890619943209E-2</v>
      </c>
      <c r="F44" s="745">
        <f t="shared" si="3"/>
        <v>1.5971888828779434E-2</v>
      </c>
    </row>
    <row r="45" spans="2:6" x14ac:dyDescent="0.25">
      <c r="B45">
        <f t="shared" si="4"/>
        <v>1.5</v>
      </c>
      <c r="C45" s="742">
        <f t="shared" si="0"/>
        <v>15.648529270389176</v>
      </c>
      <c r="D45" s="743">
        <f t="shared" si="1"/>
        <v>2.5400490294384712E-2</v>
      </c>
      <c r="E45" s="744">
        <f t="shared" si="2"/>
        <v>2.8605536487675005E-2</v>
      </c>
      <c r="F45" s="745">
        <f t="shared" si="3"/>
        <v>1.3015722488538337E-2</v>
      </c>
    </row>
    <row r="46" spans="2:6" x14ac:dyDescent="0.25">
      <c r="B46">
        <f t="shared" si="4"/>
        <v>1.75</v>
      </c>
      <c r="C46" s="742">
        <f t="shared" si="0"/>
        <v>16.923284148787374</v>
      </c>
      <c r="D46" s="743">
        <f t="shared" si="1"/>
        <v>1.6920374318340318E-2</v>
      </c>
      <c r="E46" s="744">
        <f t="shared" si="2"/>
        <v>2.2500501010848325E-2</v>
      </c>
      <c r="F46" s="745">
        <f t="shared" si="3"/>
        <v>1.0606699916004153E-2</v>
      </c>
    </row>
    <row r="47" spans="2:6" x14ac:dyDescent="0.25">
      <c r="B47">
        <f t="shared" si="4"/>
        <v>2</v>
      </c>
      <c r="C47" s="742">
        <f t="shared" si="0"/>
        <v>18.198039027185569</v>
      </c>
      <c r="D47" s="743">
        <f t="shared" si="1"/>
        <v>1.058849968494156E-2</v>
      </c>
      <c r="E47" s="744">
        <f t="shared" si="2"/>
        <v>1.666627324349855E-2</v>
      </c>
      <c r="F47" s="745">
        <f t="shared" si="3"/>
        <v>8.6435526884682777E-3</v>
      </c>
    </row>
    <row r="48" spans="2:6" x14ac:dyDescent="0.25">
      <c r="B48">
        <f t="shared" si="4"/>
        <v>2.25</v>
      </c>
      <c r="C48" s="742">
        <f t="shared" si="0"/>
        <v>19.472793905583764</v>
      </c>
      <c r="D48" s="743">
        <f t="shared" si="1"/>
        <v>6.2246578486426681E-3</v>
      </c>
      <c r="E48" s="744">
        <f t="shared" si="2"/>
        <v>1.1238573832862787E-2</v>
      </c>
      <c r="F48" s="745">
        <f t="shared" si="3"/>
        <v>7.0437557081819407E-3</v>
      </c>
    </row>
    <row r="49" spans="2:6" x14ac:dyDescent="0.25">
      <c r="B49">
        <f t="shared" si="4"/>
        <v>2.5</v>
      </c>
      <c r="C49" s="742">
        <f t="shared" si="0"/>
        <v>20.747548783981962</v>
      </c>
      <c r="D49" s="743">
        <f t="shared" si="1"/>
        <v>3.4375825483393858E-3</v>
      </c>
      <c r="E49" s="744">
        <f t="shared" si="2"/>
        <v>6.3933258999749228E-3</v>
      </c>
      <c r="F49" s="745">
        <f t="shared" si="3"/>
        <v>5.7400580831465774E-3</v>
      </c>
    </row>
    <row r="50" spans="2:6" x14ac:dyDescent="0.25">
      <c r="B50">
        <f t="shared" si="4"/>
        <v>2.75</v>
      </c>
      <c r="C50" s="742">
        <f t="shared" si="0"/>
        <v>22.022303662380157</v>
      </c>
      <c r="D50" s="743">
        <f t="shared" si="1"/>
        <v>1.7833943324495538E-3</v>
      </c>
      <c r="E50" s="744">
        <f t="shared" si="2"/>
        <v>2.405156665219062E-3</v>
      </c>
      <c r="F50" s="745">
        <f t="shared" si="3"/>
        <v>4.677656091852259E-3</v>
      </c>
    </row>
    <row r="51" spans="2:6" ht="15.75" thickBot="1" x14ac:dyDescent="0.3">
      <c r="B51">
        <f t="shared" si="4"/>
        <v>3</v>
      </c>
      <c r="C51" s="746">
        <f t="shared" si="0"/>
        <v>23.297058540778352</v>
      </c>
      <c r="D51" s="747">
        <f t="shared" si="1"/>
        <v>8.6915698206758226E-4</v>
      </c>
      <c r="E51" s="748">
        <f t="shared" si="2"/>
        <v>0</v>
      </c>
      <c r="F51" s="749">
        <f t="shared" si="3"/>
        <v>3.8118893914829751E-3</v>
      </c>
    </row>
  </sheetData>
  <mergeCells count="1">
    <mergeCell ref="D25:F2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sheetPr>
  <dimension ref="B1:U22"/>
  <sheetViews>
    <sheetView zoomScale="70" zoomScaleNormal="70" workbookViewId="0">
      <selection activeCell="K29" sqref="K29"/>
    </sheetView>
  </sheetViews>
  <sheetFormatPr defaultRowHeight="15" x14ac:dyDescent="0.25"/>
  <cols>
    <col min="2" max="2" width="9.28515625" customWidth="1"/>
    <col min="3" max="5" width="14.85546875" bestFit="1" customWidth="1"/>
    <col min="6" max="6" width="10.7109375" customWidth="1"/>
    <col min="7" max="7" width="11.5703125" customWidth="1"/>
    <col min="8" max="8" width="10.140625" bestFit="1" customWidth="1"/>
    <col min="9" max="9" width="9.5703125" bestFit="1" customWidth="1"/>
    <col min="10" max="10" width="12.5703125" bestFit="1" customWidth="1"/>
    <col min="12" max="14" width="14.85546875" bestFit="1" customWidth="1"/>
    <col min="15" max="15" width="21" bestFit="1" customWidth="1"/>
    <col min="16" max="18" width="8.140625" bestFit="1" customWidth="1"/>
    <col min="19" max="19" width="7.42578125" bestFit="1" customWidth="1"/>
    <col min="20" max="21" width="6.28515625" bestFit="1" customWidth="1"/>
  </cols>
  <sheetData>
    <row r="1" spans="2:21" s="7" customFormat="1" x14ac:dyDescent="0.25"/>
    <row r="2" spans="2:21" s="7" customFormat="1" x14ac:dyDescent="0.25">
      <c r="B2" t="s">
        <v>59</v>
      </c>
      <c r="C2"/>
      <c r="D2"/>
      <c r="E2"/>
      <c r="F2"/>
      <c r="G2"/>
      <c r="H2"/>
      <c r="I2"/>
      <c r="J2"/>
      <c r="K2"/>
      <c r="L2"/>
      <c r="M2"/>
      <c r="N2"/>
      <c r="O2"/>
      <c r="P2"/>
      <c r="Q2"/>
      <c r="R2"/>
      <c r="S2"/>
      <c r="T2"/>
      <c r="U2"/>
    </row>
    <row r="3" spans="2:21" s="7" customFormat="1" ht="15.75" thickBot="1" x14ac:dyDescent="0.3">
      <c r="B3"/>
      <c r="C3"/>
      <c r="D3"/>
      <c r="E3"/>
      <c r="F3"/>
      <c r="G3"/>
      <c r="H3"/>
      <c r="I3"/>
      <c r="J3"/>
      <c r="K3"/>
      <c r="L3"/>
      <c r="M3"/>
      <c r="N3"/>
      <c r="O3"/>
      <c r="P3"/>
      <c r="Q3"/>
      <c r="R3"/>
      <c r="S3"/>
      <c r="T3"/>
      <c r="U3"/>
    </row>
    <row r="4" spans="2:21" s="7" customFormat="1" ht="15.75" thickBot="1" x14ac:dyDescent="0.3">
      <c r="B4" t="s">
        <v>18</v>
      </c>
      <c r="C4"/>
      <c r="D4"/>
      <c r="E4"/>
      <c r="F4" s="1710" t="s">
        <v>60</v>
      </c>
      <c r="G4" s="1711"/>
      <c r="H4"/>
      <c r="I4"/>
      <c r="J4"/>
      <c r="K4"/>
      <c r="L4"/>
      <c r="M4"/>
      <c r="N4"/>
      <c r="O4"/>
      <c r="P4"/>
      <c r="Q4"/>
      <c r="R4"/>
      <c r="S4"/>
      <c r="T4"/>
      <c r="U4"/>
    </row>
    <row r="5" spans="2:21" s="7" customFormat="1" x14ac:dyDescent="0.25">
      <c r="B5"/>
      <c r="C5" t="s">
        <v>26</v>
      </c>
      <c r="D5"/>
      <c r="E5"/>
      <c r="F5" s="114"/>
      <c r="G5" s="100" t="s">
        <v>28</v>
      </c>
      <c r="H5" s="124" t="s">
        <v>32</v>
      </c>
      <c r="I5" s="6" t="s">
        <v>33</v>
      </c>
      <c r="J5" s="6" t="s">
        <v>31</v>
      </c>
      <c r="K5" s="6" t="s">
        <v>30</v>
      </c>
      <c r="L5"/>
      <c r="M5"/>
      <c r="N5"/>
      <c r="O5"/>
      <c r="P5"/>
      <c r="Q5"/>
      <c r="R5" t="s">
        <v>27</v>
      </c>
      <c r="S5"/>
      <c r="T5"/>
      <c r="U5"/>
    </row>
    <row r="6" spans="2:21" s="7" customFormat="1" ht="15.75" thickBot="1" x14ac:dyDescent="0.3">
      <c r="B6" s="13"/>
      <c r="C6" s="13" t="s">
        <v>19</v>
      </c>
      <c r="D6" s="13" t="s">
        <v>20</v>
      </c>
      <c r="E6" s="13" t="s">
        <v>25</v>
      </c>
      <c r="F6" s="129"/>
      <c r="G6" s="130"/>
      <c r="H6" s="131"/>
      <c r="I6" s="12"/>
      <c r="J6" s="12"/>
      <c r="K6" s="12"/>
      <c r="L6" s="13" t="s">
        <v>19</v>
      </c>
      <c r="M6" s="13" t="s">
        <v>20</v>
      </c>
      <c r="N6" s="12" t="s">
        <v>25</v>
      </c>
      <c r="O6" s="13" t="s">
        <v>29</v>
      </c>
      <c r="P6" s="13"/>
      <c r="Q6" s="13"/>
      <c r="R6" s="13"/>
      <c r="S6" s="13"/>
      <c r="T6"/>
      <c r="U6"/>
    </row>
    <row r="7" spans="2:21" s="7" customFormat="1" ht="15.75" thickTop="1" x14ac:dyDescent="0.25">
      <c r="B7" s="21" t="s">
        <v>4</v>
      </c>
      <c r="C7" s="23">
        <v>0.3</v>
      </c>
      <c r="D7">
        <f>SUM(D10:D11)</f>
        <v>0.30000000000000004</v>
      </c>
      <c r="E7">
        <f>SUM(E10:E11)</f>
        <v>0.30000000000000004</v>
      </c>
      <c r="F7" s="118" t="str">
        <f t="shared" ref="F7:F16" si="0">B7</f>
        <v>a</v>
      </c>
      <c r="G7" s="125">
        <v>0</v>
      </c>
      <c r="H7" s="124">
        <f t="shared" ref="H7:H16" si="1">IF(G7=0,0,1)</f>
        <v>0</v>
      </c>
      <c r="I7" s="6">
        <f>1-SUMPRODUCT($H$7:$H$9,$C$7:$C$9)</f>
        <v>0.30000000000000004</v>
      </c>
      <c r="J7" s="6">
        <f>IF(SUM($G$7:$G$9)=0,0,SUM($G$7:$G$9))</f>
        <v>0.2</v>
      </c>
      <c r="K7" s="122">
        <f t="shared" ref="K7:K16" si="2">IF(G7&lt;&gt;0,G7,(G7-J7)*(C7/I7))</f>
        <v>-0.19999999999999996</v>
      </c>
      <c r="L7" s="122">
        <f>C7+K7</f>
        <v>0.10000000000000003</v>
      </c>
      <c r="M7" s="7">
        <f>SUM(M10:M11)</f>
        <v>0.30000000000000004</v>
      </c>
      <c r="N7" s="7">
        <f>SUM(N10:N11)</f>
        <v>0.30000000000000004</v>
      </c>
      <c r="O7" s="27">
        <f>L7-$C7</f>
        <v>-0.19999999999999996</v>
      </c>
      <c r="P7" s="27">
        <f>M7-$C7</f>
        <v>0</v>
      </c>
      <c r="Q7" s="27">
        <f>N7-$C7</f>
        <v>0</v>
      </c>
      <c r="R7" s="4">
        <f t="shared" ref="R7:R16" si="3">C7+SUM(O7:Q7)</f>
        <v>0.10000000000000003</v>
      </c>
      <c r="S7" s="26" t="str">
        <f t="shared" ref="S7:S16" si="4">B7</f>
        <v>a</v>
      </c>
      <c r="T7"/>
      <c r="U7"/>
    </row>
    <row r="8" spans="2:21" s="7" customFormat="1" x14ac:dyDescent="0.25">
      <c r="B8" s="21" t="s">
        <v>14</v>
      </c>
      <c r="C8" s="23">
        <v>0.7</v>
      </c>
      <c r="D8">
        <f>D10/(D10+D11)</f>
        <v>0.69999999999999984</v>
      </c>
      <c r="E8">
        <f>E10/(E10+E11)</f>
        <v>0.69999999999999984</v>
      </c>
      <c r="F8" s="118" t="str">
        <f t="shared" si="0"/>
        <v>b|a</v>
      </c>
      <c r="G8" s="125">
        <v>0.2</v>
      </c>
      <c r="H8" s="124">
        <f t="shared" si="1"/>
        <v>1</v>
      </c>
      <c r="I8" s="6">
        <f>1-SUMPRODUCT($H$7:$H$9,$C$7:$C$9)</f>
        <v>0.30000000000000004</v>
      </c>
      <c r="J8" s="6">
        <f>IF(SUM($G$7:$G$9)=0,0,SUM($G$7:$G$9))</f>
        <v>0.2</v>
      </c>
      <c r="K8" s="122">
        <f t="shared" si="2"/>
        <v>0.2</v>
      </c>
      <c r="L8" s="6">
        <f>C8+K8</f>
        <v>0.89999999999999991</v>
      </c>
      <c r="M8" s="7">
        <f>M10/(M10+M11)</f>
        <v>0.69999999999999984</v>
      </c>
      <c r="N8" s="7">
        <f>N10/(N10+N11)</f>
        <v>0.69999999999999984</v>
      </c>
      <c r="O8" s="27">
        <f t="shared" ref="O8:O16" si="5">L8-C8</f>
        <v>0.19999999999999996</v>
      </c>
      <c r="P8" s="27">
        <f t="shared" ref="P8:P16" si="6">M8-D8</f>
        <v>0</v>
      </c>
      <c r="Q8" s="27">
        <f t="shared" ref="Q8:Q16" si="7">N8-E8</f>
        <v>0</v>
      </c>
      <c r="R8" s="4">
        <f t="shared" si="3"/>
        <v>0.89999999999999991</v>
      </c>
      <c r="S8" s="26" t="str">
        <f t="shared" si="4"/>
        <v>b|a</v>
      </c>
      <c r="T8"/>
      <c r="U8"/>
    </row>
    <row r="9" spans="2:21" s="7" customFormat="1" x14ac:dyDescent="0.25">
      <c r="B9" s="21" t="s">
        <v>16</v>
      </c>
      <c r="C9" s="24">
        <v>0.3</v>
      </c>
      <c r="D9">
        <f>D12/(D12+D13)</f>
        <v>0.29999999999999993</v>
      </c>
      <c r="E9">
        <f>E12/(E12+E13)</f>
        <v>0.29999999999999993</v>
      </c>
      <c r="F9" s="118" t="str">
        <f t="shared" si="0"/>
        <v>b|~a</v>
      </c>
      <c r="G9" s="125">
        <v>0</v>
      </c>
      <c r="H9" s="124">
        <f t="shared" si="1"/>
        <v>0</v>
      </c>
      <c r="I9" s="6">
        <f>1-SUMPRODUCT($H$7:$H$9,$C$7:$C$9)</f>
        <v>0.30000000000000004</v>
      </c>
      <c r="J9" s="6">
        <f>IF(SUM($G$7:$G$9)=0,0,SUM($G$7:$G$9))</f>
        <v>0.2</v>
      </c>
      <c r="K9" s="122">
        <f t="shared" si="2"/>
        <v>-0.19999999999999996</v>
      </c>
      <c r="L9" s="3">
        <f>C9+K9</f>
        <v>0.10000000000000003</v>
      </c>
      <c r="M9" s="7">
        <f>M12/(M12+M13)</f>
        <v>0.29999999999999993</v>
      </c>
      <c r="N9" s="7">
        <f>N12/(N12+N13)</f>
        <v>0.29999999999999993</v>
      </c>
      <c r="O9" s="27">
        <f t="shared" si="5"/>
        <v>-0.19999999999999996</v>
      </c>
      <c r="P9" s="27">
        <f t="shared" si="6"/>
        <v>0</v>
      </c>
      <c r="Q9" s="27">
        <f t="shared" si="7"/>
        <v>0</v>
      </c>
      <c r="R9" s="4">
        <f t="shared" si="3"/>
        <v>0.10000000000000003</v>
      </c>
      <c r="S9" s="26" t="str">
        <f t="shared" si="4"/>
        <v>b|~a</v>
      </c>
      <c r="T9"/>
      <c r="U9"/>
    </row>
    <row r="10" spans="2:21" s="7" customFormat="1" x14ac:dyDescent="0.25">
      <c r="B10" s="21" t="s">
        <v>21</v>
      </c>
      <c r="C10" s="7">
        <f>C7*C8</f>
        <v>0.21</v>
      </c>
      <c r="D10">
        <f>D14*D15</f>
        <v>0.21</v>
      </c>
      <c r="E10" s="1">
        <f>D10</f>
        <v>0.21</v>
      </c>
      <c r="F10" s="118" t="str">
        <f t="shared" si="0"/>
        <v>a &amp; b</v>
      </c>
      <c r="G10" s="125">
        <v>0</v>
      </c>
      <c r="H10" s="124">
        <f t="shared" si="1"/>
        <v>0</v>
      </c>
      <c r="I10" s="6">
        <f>1-SUMPRODUCT($H$10:$H$13,$C$10:$C$13)</f>
        <v>1</v>
      </c>
      <c r="J10" s="6">
        <f>IF(SUM($G$10:$G$13)=0,0,SUM($G$10:$G$13))</f>
        <v>0</v>
      </c>
      <c r="K10" s="6">
        <f t="shared" si="2"/>
        <v>0</v>
      </c>
      <c r="L10" s="7">
        <f>L7*L8</f>
        <v>9.0000000000000024E-2</v>
      </c>
      <c r="M10" s="7">
        <f>M14*M15</f>
        <v>0.21</v>
      </c>
      <c r="N10" s="1">
        <f>E10+K10</f>
        <v>0.21</v>
      </c>
      <c r="O10" s="27">
        <f t="shared" si="5"/>
        <v>-0.11999999999999997</v>
      </c>
      <c r="P10" s="27">
        <f t="shared" si="6"/>
        <v>0</v>
      </c>
      <c r="Q10" s="27">
        <f t="shared" si="7"/>
        <v>0</v>
      </c>
      <c r="R10" s="121">
        <f t="shared" si="3"/>
        <v>9.0000000000000024E-2</v>
      </c>
      <c r="S10" s="26" t="str">
        <f t="shared" si="4"/>
        <v>a &amp; b</v>
      </c>
      <c r="T10"/>
      <c r="U10"/>
    </row>
    <row r="11" spans="2:21" s="7" customFormat="1" x14ac:dyDescent="0.25">
      <c r="B11" s="21" t="s">
        <v>22</v>
      </c>
      <c r="C11" s="7">
        <f>C7*(1-C8)</f>
        <v>9.0000000000000011E-2</v>
      </c>
      <c r="D11">
        <f>(1-D14)*D16</f>
        <v>9.0000000000000024E-2</v>
      </c>
      <c r="E11" s="5">
        <f>D11</f>
        <v>9.0000000000000024E-2</v>
      </c>
      <c r="F11" s="118" t="str">
        <f t="shared" si="0"/>
        <v>a &amp; ~b</v>
      </c>
      <c r="G11" s="125">
        <v>0</v>
      </c>
      <c r="H11" s="124">
        <f t="shared" si="1"/>
        <v>0</v>
      </c>
      <c r="I11" s="6">
        <f>1-SUMPRODUCT($H$10:$H$13,$C$10:$C$13)</f>
        <v>1</v>
      </c>
      <c r="J11" s="6">
        <f>IF(SUM($G$10:$G$13)=0,0,SUM($G$10:$G$13))</f>
        <v>0</v>
      </c>
      <c r="K11" s="6">
        <f t="shared" si="2"/>
        <v>0</v>
      </c>
      <c r="L11" s="7">
        <f>L7*(1-L8)</f>
        <v>1.0000000000000012E-2</v>
      </c>
      <c r="M11" s="7">
        <f>(1-M14)*M16</f>
        <v>9.0000000000000024E-2</v>
      </c>
      <c r="N11" s="5">
        <f>E11+K11</f>
        <v>9.0000000000000024E-2</v>
      </c>
      <c r="O11" s="27">
        <f t="shared" si="5"/>
        <v>-0.08</v>
      </c>
      <c r="P11" s="27">
        <f t="shared" si="6"/>
        <v>0</v>
      </c>
      <c r="Q11" s="27">
        <f t="shared" si="7"/>
        <v>0</v>
      </c>
      <c r="R11" s="122">
        <f t="shared" si="3"/>
        <v>1.0000000000000009E-2</v>
      </c>
      <c r="S11" s="26" t="str">
        <f t="shared" si="4"/>
        <v>a &amp; ~b</v>
      </c>
      <c r="T11"/>
      <c r="U11"/>
    </row>
    <row r="12" spans="2:21" s="7" customFormat="1" x14ac:dyDescent="0.25">
      <c r="B12" s="21" t="s">
        <v>23</v>
      </c>
      <c r="C12" s="7">
        <f>(1-C7)*C9</f>
        <v>0.21</v>
      </c>
      <c r="D12">
        <f>D14*(1-D15)</f>
        <v>0.21</v>
      </c>
      <c r="E12" s="5">
        <f>D12</f>
        <v>0.21</v>
      </c>
      <c r="F12" s="118" t="str">
        <f t="shared" si="0"/>
        <v>~a &amp; b</v>
      </c>
      <c r="G12" s="125">
        <v>0</v>
      </c>
      <c r="H12" s="124">
        <f t="shared" si="1"/>
        <v>0</v>
      </c>
      <c r="I12" s="6">
        <f>1-SUMPRODUCT($H$10:$H$13,$C$10:$C$13)</f>
        <v>1</v>
      </c>
      <c r="J12" s="6">
        <f>IF(SUM($G$10:$G$13)=0,0,SUM($G$10:$G$13))</f>
        <v>0</v>
      </c>
      <c r="K12" s="6">
        <f t="shared" si="2"/>
        <v>0</v>
      </c>
      <c r="L12" s="7">
        <f>(1-L7)*L9</f>
        <v>9.0000000000000024E-2</v>
      </c>
      <c r="M12" s="7">
        <f>M14*(1-M15)</f>
        <v>0.21</v>
      </c>
      <c r="N12" s="5">
        <f>E12+K12</f>
        <v>0.21</v>
      </c>
      <c r="O12" s="27">
        <f t="shared" si="5"/>
        <v>-0.11999999999999997</v>
      </c>
      <c r="P12" s="27">
        <f t="shared" si="6"/>
        <v>0</v>
      </c>
      <c r="Q12" s="27">
        <f t="shared" si="7"/>
        <v>0</v>
      </c>
      <c r="R12" s="122">
        <f t="shared" si="3"/>
        <v>9.0000000000000024E-2</v>
      </c>
      <c r="S12" s="26" t="str">
        <f t="shared" si="4"/>
        <v>~a &amp; b</v>
      </c>
      <c r="T12"/>
      <c r="U12"/>
    </row>
    <row r="13" spans="2:21" s="7" customFormat="1" x14ac:dyDescent="0.25">
      <c r="B13" s="21" t="s">
        <v>24</v>
      </c>
      <c r="C13" s="7">
        <f>(1-C7)*(1-C9)</f>
        <v>0.48999999999999994</v>
      </c>
      <c r="D13">
        <f>(1-D14)*(1-D16)</f>
        <v>0.49000000000000005</v>
      </c>
      <c r="E13" s="2">
        <f>D13</f>
        <v>0.49000000000000005</v>
      </c>
      <c r="F13" s="118" t="str">
        <f t="shared" si="0"/>
        <v>~a &amp; ~b</v>
      </c>
      <c r="G13" s="125">
        <v>0</v>
      </c>
      <c r="H13" s="124">
        <f t="shared" si="1"/>
        <v>0</v>
      </c>
      <c r="I13" s="6">
        <f>1-SUMPRODUCT($H$10:$H$13,$C$10:$C$13)</f>
        <v>1</v>
      </c>
      <c r="J13" s="6">
        <f>IF(SUM($G$10:$G$13)=0,0,SUM($G$10:$G$13))</f>
        <v>0</v>
      </c>
      <c r="K13" s="6">
        <f t="shared" si="2"/>
        <v>0</v>
      </c>
      <c r="L13" s="7">
        <f>(1-L7)*(1-L9)</f>
        <v>0.80999999999999983</v>
      </c>
      <c r="M13" s="7">
        <f>(1-M14)*(1-M16)</f>
        <v>0.49000000000000005</v>
      </c>
      <c r="N13" s="2">
        <f>E13+K13</f>
        <v>0.49000000000000005</v>
      </c>
      <c r="O13" s="27">
        <f t="shared" si="5"/>
        <v>0.3199999999999999</v>
      </c>
      <c r="P13" s="27">
        <f t="shared" si="6"/>
        <v>0</v>
      </c>
      <c r="Q13" s="27">
        <f t="shared" si="7"/>
        <v>0</v>
      </c>
      <c r="R13" s="123">
        <f t="shared" si="3"/>
        <v>0.80999999999999983</v>
      </c>
      <c r="S13" s="26" t="str">
        <f t="shared" si="4"/>
        <v>~a &amp; ~b</v>
      </c>
      <c r="T13"/>
      <c r="U13"/>
    </row>
    <row r="14" spans="2:21" s="7" customFormat="1" ht="18" customHeight="1" x14ac:dyDescent="0.25">
      <c r="B14" s="25" t="s">
        <v>5</v>
      </c>
      <c r="C14">
        <f>C10+C12</f>
        <v>0.42</v>
      </c>
      <c r="D14" s="22">
        <f>C14</f>
        <v>0.42</v>
      </c>
      <c r="E14">
        <f>E10+E12</f>
        <v>0.42</v>
      </c>
      <c r="F14" s="118" t="str">
        <f t="shared" si="0"/>
        <v>b</v>
      </c>
      <c r="G14" s="125">
        <v>0</v>
      </c>
      <c r="H14" s="124">
        <f t="shared" si="1"/>
        <v>0</v>
      </c>
      <c r="I14" s="6">
        <f>1-SUMPRODUCT($H$14:$H$16,$C$14:$C$16)</f>
        <v>1</v>
      </c>
      <c r="J14" s="6">
        <f>IF(SUM($G$14:$G$16)=0,0,SUM($G$14:$G$16))</f>
        <v>0</v>
      </c>
      <c r="K14" s="6">
        <f t="shared" si="2"/>
        <v>0</v>
      </c>
      <c r="L14" s="7">
        <f>L10+L12</f>
        <v>0.18000000000000005</v>
      </c>
      <c r="M14" s="22">
        <f>D14+K14</f>
        <v>0.42</v>
      </c>
      <c r="N14" s="7">
        <f>N10+N12</f>
        <v>0.42</v>
      </c>
      <c r="O14" s="27">
        <f t="shared" si="5"/>
        <v>-0.23999999999999994</v>
      </c>
      <c r="P14" s="27">
        <f t="shared" si="6"/>
        <v>0</v>
      </c>
      <c r="Q14" s="27">
        <f t="shared" si="7"/>
        <v>0</v>
      </c>
      <c r="R14" s="120">
        <f t="shared" si="3"/>
        <v>0.18000000000000005</v>
      </c>
      <c r="S14" s="26" t="str">
        <f t="shared" si="4"/>
        <v>b</v>
      </c>
      <c r="T14"/>
      <c r="U14"/>
    </row>
    <row r="15" spans="2:21" s="7" customFormat="1" x14ac:dyDescent="0.25">
      <c r="B15" s="25" t="s">
        <v>15</v>
      </c>
      <c r="C15">
        <f>C10/(C10+C12)</f>
        <v>0.5</v>
      </c>
      <c r="D15" s="23">
        <f>C15</f>
        <v>0.5</v>
      </c>
      <c r="E15">
        <f>E10/(E10+E12)</f>
        <v>0.5</v>
      </c>
      <c r="F15" s="118" t="str">
        <f t="shared" si="0"/>
        <v>a|b</v>
      </c>
      <c r="G15" s="125">
        <v>0</v>
      </c>
      <c r="H15" s="124">
        <f t="shared" si="1"/>
        <v>0</v>
      </c>
      <c r="I15" s="6">
        <f>1-SUMPRODUCT($H$14:$H$16,$C$14:$C$16)</f>
        <v>1</v>
      </c>
      <c r="J15" s="6">
        <f>IF(SUM($G$14:$G$16)=0,0,SUM($G$14:$G$16))</f>
        <v>0</v>
      </c>
      <c r="K15" s="6">
        <f t="shared" si="2"/>
        <v>0</v>
      </c>
      <c r="L15" s="7">
        <f>L10/(L10+L12)</f>
        <v>0.5</v>
      </c>
      <c r="M15" s="23">
        <f>D15+K15</f>
        <v>0.5</v>
      </c>
      <c r="N15" s="7">
        <f>N10/(N10+N12)</f>
        <v>0.5</v>
      </c>
      <c r="O15" s="27">
        <f t="shared" si="5"/>
        <v>0</v>
      </c>
      <c r="P15" s="27">
        <f t="shared" si="6"/>
        <v>0</v>
      </c>
      <c r="Q15" s="27">
        <f t="shared" si="7"/>
        <v>0</v>
      </c>
      <c r="R15" s="120">
        <f t="shared" si="3"/>
        <v>0.5</v>
      </c>
      <c r="S15" s="26" t="str">
        <f t="shared" si="4"/>
        <v>a|b</v>
      </c>
      <c r="T15"/>
      <c r="U15"/>
    </row>
    <row r="16" spans="2:21" s="7" customFormat="1" ht="15.75" thickBot="1" x14ac:dyDescent="0.3">
      <c r="B16" s="132" t="s">
        <v>17</v>
      </c>
      <c r="C16" s="13">
        <f>C11/(C11+C13)</f>
        <v>0.15517241379310348</v>
      </c>
      <c r="D16" s="133">
        <f>C16</f>
        <v>0.15517241379310348</v>
      </c>
      <c r="E16" s="13">
        <f>E11/(E11+E13)</f>
        <v>0.15517241379310348</v>
      </c>
      <c r="F16" s="134" t="str">
        <f t="shared" si="0"/>
        <v>a|~b</v>
      </c>
      <c r="G16" s="135">
        <v>0</v>
      </c>
      <c r="H16" s="131">
        <f t="shared" si="1"/>
        <v>0</v>
      </c>
      <c r="I16" s="12">
        <f>1-SUMPRODUCT($H$14:$H$16,$C$14:$C$16)</f>
        <v>1</v>
      </c>
      <c r="J16" s="12">
        <f>IF(SUM($G$14:$G$16)=0,0,SUM($G$14:$G$16))</f>
        <v>0</v>
      </c>
      <c r="K16" s="12">
        <f t="shared" si="2"/>
        <v>0</v>
      </c>
      <c r="L16" s="13">
        <f>L11/(L11+L13)</f>
        <v>1.219512195121953E-2</v>
      </c>
      <c r="M16" s="133">
        <f>D16+K16</f>
        <v>0.15517241379310348</v>
      </c>
      <c r="N16" s="13">
        <f>N11/(N11+N13)</f>
        <v>0.15517241379310348</v>
      </c>
      <c r="O16" s="136">
        <f t="shared" si="5"/>
        <v>-0.14297729184188396</v>
      </c>
      <c r="P16" s="136">
        <f t="shared" si="6"/>
        <v>0</v>
      </c>
      <c r="Q16" s="136">
        <f t="shared" si="7"/>
        <v>0</v>
      </c>
      <c r="R16" s="137">
        <f t="shared" si="3"/>
        <v>1.2195121951219523E-2</v>
      </c>
      <c r="S16" s="138" t="str">
        <f t="shared" si="4"/>
        <v>a|~b</v>
      </c>
      <c r="T16"/>
      <c r="U16"/>
    </row>
    <row r="17" spans="2:21" s="7" customFormat="1" ht="16.5" thickTop="1" thickBot="1" x14ac:dyDescent="0.3">
      <c r="B17"/>
      <c r="C17"/>
      <c r="D17"/>
      <c r="E17"/>
      <c r="F17" s="119"/>
      <c r="G17" s="102"/>
      <c r="H17"/>
      <c r="I17"/>
      <c r="J17"/>
      <c r="K17"/>
      <c r="O17"/>
      <c r="P17"/>
      <c r="Q17"/>
      <c r="R17" s="5"/>
      <c r="S17"/>
      <c r="T17"/>
      <c r="U17"/>
    </row>
    <row r="18" spans="2:21" s="7" customFormat="1" ht="15.75" thickBot="1" x14ac:dyDescent="0.3">
      <c r="B18"/>
      <c r="C18" s="84">
        <f>SUM(C10:C13)</f>
        <v>1</v>
      </c>
      <c r="D18" s="84">
        <f>SUM(D10:D13)</f>
        <v>1</v>
      </c>
      <c r="E18" s="84">
        <f>SUM(E10:E13)</f>
        <v>1</v>
      </c>
      <c r="F18"/>
      <c r="G18"/>
      <c r="H18"/>
      <c r="I18"/>
      <c r="J18"/>
      <c r="K18"/>
      <c r="L18" s="84">
        <f t="shared" ref="L18:Q18" si="8">SUM(L10:L13)</f>
        <v>0.99999999999999989</v>
      </c>
      <c r="M18" s="84">
        <f t="shared" si="8"/>
        <v>1</v>
      </c>
      <c r="N18" s="84">
        <f t="shared" si="8"/>
        <v>1</v>
      </c>
      <c r="O18" s="84">
        <f t="shared" si="8"/>
        <v>0</v>
      </c>
      <c r="P18" s="84">
        <f t="shared" si="8"/>
        <v>0</v>
      </c>
      <c r="Q18" s="84">
        <f t="shared" si="8"/>
        <v>0</v>
      </c>
      <c r="R18" s="5"/>
      <c r="S18"/>
      <c r="T18"/>
      <c r="U18"/>
    </row>
    <row r="19" spans="2:21" s="7" customFormat="1" x14ac:dyDescent="0.25">
      <c r="B19"/>
      <c r="C19"/>
      <c r="D19"/>
      <c r="E19"/>
      <c r="F19"/>
      <c r="G19"/>
      <c r="H19"/>
      <c r="I19"/>
      <c r="J19"/>
      <c r="K19"/>
      <c r="L19"/>
      <c r="M19"/>
      <c r="N19"/>
      <c r="O19"/>
      <c r="P19"/>
      <c r="Q19"/>
      <c r="R19" s="9"/>
      <c r="S19" s="10"/>
      <c r="T19" s="10"/>
      <c r="U19" s="11"/>
    </row>
    <row r="20" spans="2:21" x14ac:dyDescent="0.25">
      <c r="R20" s="126">
        <f>INDEX($R$10:$R$13,COLUMN(Q20)-COLUMN($P$20))</f>
        <v>9.0000000000000024E-2</v>
      </c>
      <c r="S20" s="127">
        <f>INDEX($R$10:$R$13,COLUMN(R20)-COLUMN($P$20))</f>
        <v>1.0000000000000009E-2</v>
      </c>
      <c r="T20" s="127">
        <f>INDEX($R$10:$R$13,COLUMN(S20)-COLUMN($P$20))</f>
        <v>9.0000000000000024E-2</v>
      </c>
      <c r="U20" s="128">
        <f>INDEX($R$10:$R$13,COLUMN(T20)-COLUMN($P$20))</f>
        <v>0.80999999999999983</v>
      </c>
    </row>
    <row r="21" spans="2:21" x14ac:dyDescent="0.25">
      <c r="R21" s="114"/>
      <c r="S21" s="7"/>
      <c r="T21" s="7"/>
      <c r="U21" s="100"/>
    </row>
    <row r="22" spans="2:21" ht="15.75" thickBot="1" x14ac:dyDescent="0.3">
      <c r="R22" s="1712" t="s">
        <v>61</v>
      </c>
      <c r="S22" s="1706"/>
      <c r="T22" s="1706"/>
      <c r="U22" s="1713"/>
    </row>
  </sheetData>
  <mergeCells count="2">
    <mergeCell ref="F4:G4"/>
    <mergeCell ref="R22:U2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W64"/>
  <sheetViews>
    <sheetView zoomScale="85" zoomScaleNormal="85" workbookViewId="0">
      <selection activeCell="H22" sqref="H22"/>
    </sheetView>
  </sheetViews>
  <sheetFormatPr defaultRowHeight="15" x14ac:dyDescent="0.25"/>
  <cols>
    <col min="2" max="2" width="10" customWidth="1"/>
    <col min="3" max="7" width="11.42578125" style="33" customWidth="1"/>
    <col min="8" max="8" width="13.42578125" style="33" customWidth="1"/>
    <col min="9" max="10" width="12" style="33" customWidth="1"/>
    <col min="11" max="11" width="0" hidden="1" customWidth="1"/>
    <col min="12" max="12" width="9.42578125" hidden="1" customWidth="1"/>
    <col min="13" max="13" width="12.7109375" hidden="1" customWidth="1"/>
    <col min="14" max="14" width="10.28515625" hidden="1" customWidth="1"/>
    <col min="15" max="15" width="10.7109375" hidden="1" customWidth="1"/>
    <col min="16" max="16" width="9.140625" hidden="1" customWidth="1"/>
    <col min="17" max="17" width="9.42578125" customWidth="1"/>
    <col min="19" max="19" width="12.140625" customWidth="1"/>
    <col min="20" max="20" width="10.5703125" customWidth="1"/>
    <col min="23" max="23" width="11.140625" customWidth="1"/>
  </cols>
  <sheetData>
    <row r="2" spans="2:20" ht="31.5" x14ac:dyDescent="0.5">
      <c r="B2" s="186" t="s">
        <v>736</v>
      </c>
    </row>
    <row r="3" spans="2:20" ht="17.25" customHeight="1" x14ac:dyDescent="0.5">
      <c r="B3" s="186"/>
    </row>
    <row r="4" spans="2:20" ht="17.25" customHeight="1" x14ac:dyDescent="0.5">
      <c r="B4" s="186"/>
    </row>
    <row r="5" spans="2:20" ht="17.25" customHeight="1" x14ac:dyDescent="0.25">
      <c r="B5" s="1564" t="s">
        <v>159</v>
      </c>
      <c r="C5" s="150" t="s">
        <v>101</v>
      </c>
      <c r="D5" s="150" t="s">
        <v>737</v>
      </c>
      <c r="E5" s="150"/>
      <c r="F5" s="264"/>
      <c r="G5" s="264"/>
      <c r="H5" s="264"/>
      <c r="I5" s="264"/>
      <c r="J5" s="264"/>
      <c r="K5" s="150"/>
      <c r="L5" s="150"/>
      <c r="M5" s="150"/>
      <c r="N5" s="150"/>
      <c r="O5" s="150"/>
      <c r="P5" s="150"/>
      <c r="Q5" s="150"/>
      <c r="R5" s="150"/>
      <c r="S5" s="150"/>
      <c r="T5" s="237"/>
    </row>
    <row r="6" spans="2:20" ht="17.25" customHeight="1" x14ac:dyDescent="0.25">
      <c r="B6" s="1565"/>
      <c r="C6" s="17" t="s">
        <v>145</v>
      </c>
      <c r="D6" s="143">
        <v>20</v>
      </c>
      <c r="E6" s="7" t="s">
        <v>146</v>
      </c>
      <c r="F6" s="17"/>
      <c r="G6" s="17"/>
      <c r="H6" s="17"/>
      <c r="I6" s="17"/>
      <c r="J6" s="17"/>
      <c r="K6" s="7"/>
      <c r="L6" s="7"/>
      <c r="M6" s="7"/>
      <c r="N6" s="7"/>
      <c r="O6" s="7"/>
      <c r="P6" s="7"/>
      <c r="Q6" s="7"/>
      <c r="R6" s="7"/>
      <c r="S6" s="7"/>
      <c r="T6" s="6"/>
    </row>
    <row r="7" spans="2:20" ht="17.25" customHeight="1" x14ac:dyDescent="0.25">
      <c r="B7" s="1565"/>
      <c r="C7" s="17" t="s">
        <v>148</v>
      </c>
      <c r="D7" s="143">
        <v>500</v>
      </c>
      <c r="E7" s="7" t="s">
        <v>147</v>
      </c>
      <c r="F7" s="17"/>
      <c r="G7" s="17"/>
      <c r="H7" s="17"/>
      <c r="I7" s="17"/>
      <c r="J7" s="17"/>
      <c r="K7" s="7"/>
      <c r="L7" s="7"/>
      <c r="M7" s="7"/>
      <c r="N7" s="7"/>
      <c r="O7" s="7"/>
      <c r="P7" s="7"/>
      <c r="Q7" s="7"/>
      <c r="R7" s="7"/>
      <c r="S7" s="7"/>
      <c r="T7" s="6"/>
    </row>
    <row r="8" spans="2:20" ht="17.25" customHeight="1" x14ac:dyDescent="0.25">
      <c r="B8" s="1565"/>
      <c r="C8" s="140" t="s">
        <v>149</v>
      </c>
      <c r="D8" s="18">
        <f>D7-D6</f>
        <v>480</v>
      </c>
      <c r="E8" s="7" t="s">
        <v>150</v>
      </c>
      <c r="F8" s="17"/>
      <c r="G8" s="17"/>
      <c r="H8" s="17"/>
      <c r="I8" s="17"/>
      <c r="J8" s="17"/>
      <c r="K8" s="7"/>
      <c r="L8" s="7"/>
      <c r="M8" s="7"/>
      <c r="N8" s="7"/>
      <c r="O8" s="7"/>
      <c r="P8" s="7"/>
      <c r="Q8" s="7"/>
      <c r="R8" s="7"/>
      <c r="S8" s="7"/>
      <c r="T8" s="6"/>
    </row>
    <row r="9" spans="2:20" ht="17.25" customHeight="1" x14ac:dyDescent="0.25">
      <c r="B9" s="1565"/>
      <c r="C9" s="140" t="s">
        <v>153</v>
      </c>
      <c r="D9" s="1238" t="s">
        <v>733</v>
      </c>
      <c r="E9" s="8" t="s">
        <v>156</v>
      </c>
      <c r="F9" s="17"/>
      <c r="G9" s="17"/>
      <c r="H9" s="17"/>
      <c r="I9" s="17"/>
      <c r="J9" s="17"/>
      <c r="K9" s="7"/>
      <c r="L9" s="7"/>
      <c r="M9" s="7"/>
      <c r="N9" s="7"/>
      <c r="O9" s="7"/>
      <c r="P9" s="7"/>
      <c r="Q9" s="7"/>
      <c r="R9" s="7"/>
      <c r="S9" s="7"/>
      <c r="T9" s="6"/>
    </row>
    <row r="10" spans="2:20" ht="17.25" customHeight="1" x14ac:dyDescent="0.25">
      <c r="B10" s="1565"/>
      <c r="C10" s="140" t="s">
        <v>154</v>
      </c>
      <c r="D10" s="1238" t="s">
        <v>732</v>
      </c>
      <c r="E10" s="8" t="s">
        <v>157</v>
      </c>
      <c r="F10" s="17"/>
      <c r="G10" s="17"/>
      <c r="H10" s="17"/>
      <c r="I10" s="17"/>
      <c r="J10" s="17"/>
      <c r="K10" s="7"/>
      <c r="L10" s="7"/>
      <c r="M10" s="7"/>
      <c r="N10" s="7"/>
      <c r="O10" s="7"/>
      <c r="P10" s="7"/>
      <c r="Q10" s="7"/>
      <c r="R10" s="7"/>
      <c r="S10" s="7"/>
      <c r="T10" s="6"/>
    </row>
    <row r="11" spans="2:20" ht="17.25" customHeight="1" x14ac:dyDescent="0.25">
      <c r="B11" s="1566"/>
      <c r="C11" s="265" t="s">
        <v>155</v>
      </c>
      <c r="D11" s="266"/>
      <c r="E11" s="267" t="s">
        <v>158</v>
      </c>
      <c r="F11" s="257"/>
      <c r="G11" s="257"/>
      <c r="H11" s="257"/>
      <c r="I11" s="257"/>
      <c r="J11" s="257"/>
      <c r="K11" s="245"/>
      <c r="L11" s="245"/>
      <c r="M11" s="245"/>
      <c r="N11" s="245"/>
      <c r="O11" s="245"/>
      <c r="P11" s="245"/>
      <c r="Q11" s="245"/>
      <c r="R11" s="245"/>
      <c r="S11" s="245"/>
      <c r="T11" s="3"/>
    </row>
    <row r="12" spans="2:20" ht="17.25" customHeight="1" thickBot="1" x14ac:dyDescent="0.3">
      <c r="B12" s="7"/>
      <c r="C12" s="7"/>
      <c r="D12" s="7"/>
    </row>
    <row r="13" spans="2:20" ht="17.25" customHeight="1" x14ac:dyDescent="0.25">
      <c r="B13" s="1567" t="s">
        <v>148</v>
      </c>
      <c r="C13" s="273" t="s">
        <v>160</v>
      </c>
      <c r="D13" s="274" t="s">
        <v>161</v>
      </c>
      <c r="E13" s="251" t="s">
        <v>162</v>
      </c>
      <c r="F13" s="251"/>
      <c r="G13" s="251" t="s">
        <v>215</v>
      </c>
      <c r="H13" s="251"/>
      <c r="I13" s="251"/>
      <c r="J13" s="251"/>
      <c r="K13" s="10"/>
      <c r="L13" s="10"/>
      <c r="M13" s="10"/>
      <c r="N13" s="10"/>
      <c r="O13" s="10"/>
      <c r="P13" s="10"/>
      <c r="Q13" s="11"/>
    </row>
    <row r="14" spans="2:20" ht="17.25" customHeight="1" x14ac:dyDescent="0.25">
      <c r="B14" s="1568"/>
      <c r="C14" s="17" t="s">
        <v>135</v>
      </c>
      <c r="D14" s="254">
        <v>2</v>
      </c>
      <c r="E14" s="17" t="s">
        <v>136</v>
      </c>
      <c r="F14" s="17"/>
      <c r="G14" s="17"/>
      <c r="H14" s="17"/>
      <c r="I14" s="17"/>
      <c r="J14" s="17"/>
      <c r="K14" s="7"/>
      <c r="L14" s="7"/>
      <c r="M14" s="7"/>
      <c r="N14" s="7"/>
      <c r="O14" s="7"/>
      <c r="P14" s="7"/>
      <c r="Q14" s="100"/>
    </row>
    <row r="15" spans="2:20" ht="17.25" customHeight="1" x14ac:dyDescent="0.25">
      <c r="B15" s="1568"/>
      <c r="C15" s="17" t="s">
        <v>5</v>
      </c>
      <c r="D15" s="888">
        <v>1.3</v>
      </c>
      <c r="E15" s="17" t="s">
        <v>139</v>
      </c>
      <c r="F15" s="17"/>
      <c r="G15" s="17" t="s">
        <v>216</v>
      </c>
      <c r="H15" s="17"/>
      <c r="I15" s="17"/>
      <c r="J15" s="17"/>
      <c r="K15" s="7"/>
      <c r="L15" s="7"/>
      <c r="M15" s="7"/>
      <c r="N15" s="7"/>
      <c r="O15" s="7"/>
      <c r="P15" s="7"/>
      <c r="Q15" s="100"/>
    </row>
    <row r="16" spans="2:20" ht="17.25" customHeight="1" thickBot="1" x14ac:dyDescent="0.3">
      <c r="B16" s="1569"/>
      <c r="C16" s="166" t="s">
        <v>137</v>
      </c>
      <c r="D16" s="438">
        <f>D15*LN(D14)</f>
        <v>0.90109133472792891</v>
      </c>
      <c r="E16" s="166" t="s">
        <v>138</v>
      </c>
      <c r="F16" s="252"/>
      <c r="G16" s="252"/>
      <c r="H16" s="252"/>
      <c r="I16" s="252"/>
      <c r="J16" s="252"/>
      <c r="K16" s="166"/>
      <c r="L16" s="166"/>
      <c r="M16" s="166"/>
      <c r="N16" s="166"/>
      <c r="O16" s="166"/>
      <c r="P16" s="166"/>
      <c r="Q16" s="102"/>
    </row>
    <row r="17" spans="2:23" s="7" customFormat="1" ht="15.75" thickBot="1" x14ac:dyDescent="0.3">
      <c r="B17"/>
      <c r="C17" s="33"/>
      <c r="D17" s="33"/>
      <c r="E17" s="1325"/>
      <c r="F17" s="33"/>
      <c r="G17" s="33"/>
      <c r="H17" s="33"/>
      <c r="I17" s="33"/>
      <c r="J17" s="33"/>
      <c r="K17"/>
      <c r="L17"/>
      <c r="M17"/>
      <c r="N17"/>
      <c r="O17"/>
      <c r="P17"/>
      <c r="Q17"/>
      <c r="R17"/>
      <c r="S17" s="8"/>
    </row>
    <row r="18" spans="2:23" s="7" customFormat="1" ht="24.75" customHeight="1" thickBot="1" x14ac:dyDescent="0.35">
      <c r="B18"/>
      <c r="C18" s="432" t="s">
        <v>12</v>
      </c>
      <c r="D18" s="424"/>
      <c r="E18" s="433" t="s">
        <v>13</v>
      </c>
      <c r="F18" s="424"/>
      <c r="G18" s="789" t="s">
        <v>735</v>
      </c>
      <c r="H18" s="424" t="s">
        <v>115</v>
      </c>
      <c r="I18" s="1239" t="s">
        <v>35</v>
      </c>
      <c r="J18" s="193"/>
      <c r="K18" s="1570" t="s">
        <v>98</v>
      </c>
      <c r="L18" s="1571"/>
      <c r="M18" s="183" t="s">
        <v>99</v>
      </c>
      <c r="O18" s="7" t="s">
        <v>100</v>
      </c>
      <c r="P18" s="20"/>
      <c r="Q18" s="184" t="s">
        <v>100</v>
      </c>
      <c r="R18" s="20"/>
    </row>
    <row r="19" spans="2:23" s="7" customFormat="1" ht="16.5" thickTop="1" thickBot="1" x14ac:dyDescent="0.3">
      <c r="B19" s="115" t="s">
        <v>45</v>
      </c>
      <c r="C19" s="202" t="str">
        <f>"S("&amp;D6&amp;")"</f>
        <v>S(20)</v>
      </c>
      <c r="D19" s="198" t="str">
        <f>"S("&amp;D7&amp;")"</f>
        <v>S(500)</v>
      </c>
      <c r="E19" s="196" t="str">
        <f>"P("&amp;D6&amp;")"</f>
        <v>P(20)</v>
      </c>
      <c r="F19" s="198" t="str">
        <f>"S("&amp;D7&amp;")"</f>
        <v>S(500)</v>
      </c>
      <c r="G19" s="445" t="s">
        <v>101</v>
      </c>
      <c r="H19" s="294">
        <v>0</v>
      </c>
      <c r="I19" s="203"/>
      <c r="J19" s="140"/>
      <c r="K19" s="180" t="str">
        <f>C19</f>
        <v>S(20)</v>
      </c>
      <c r="L19" s="181" t="str">
        <f>D19</f>
        <v>S(500)</v>
      </c>
      <c r="Q19"/>
    </row>
    <row r="20" spans="2:23" s="7" customFormat="1" ht="18" customHeight="1" thickTop="1" x14ac:dyDescent="0.3">
      <c r="B20" s="1262">
        <v>43831</v>
      </c>
      <c r="C20" s="450">
        <v>0</v>
      </c>
      <c r="D20" s="352">
        <v>0</v>
      </c>
      <c r="E20" s="451">
        <f t="shared" ref="E20:E28" si="0">EXP(C20/$D$15)/(EXP($D20/$D$15)+EXP($C20/$D$15))</f>
        <v>0.5</v>
      </c>
      <c r="F20" s="209">
        <f t="shared" ref="F20:F29" si="1">EXP(D20/$D$15)/(EXP($D20/$D$15)+EXP($C20/$D$15))</f>
        <v>0.5</v>
      </c>
      <c r="G20" s="448">
        <f t="shared" ref="G20:G30" si="2">(F20*$D$8)+$D$6</f>
        <v>260</v>
      </c>
      <c r="H20" s="336">
        <f>$D$15*LN(EXP($D20/$D$15)+EXP($C20/$D$15))</f>
        <v>0.90109133472792891</v>
      </c>
      <c r="I20" s="204">
        <f>(H20-H19)</f>
        <v>0.90109133472792891</v>
      </c>
      <c r="J20" s="194"/>
      <c r="K20" s="114"/>
      <c r="L20" s="100"/>
      <c r="Q20" s="185" t="str">
        <f>"Paid "&amp;ROUND(I20,2)&amp;" to create this Market."</f>
        <v>Paid 0.9 to create this Market.</v>
      </c>
      <c r="W20" s="187"/>
    </row>
    <row r="21" spans="2:23" s="7" customFormat="1" ht="18.75" x14ac:dyDescent="0.3">
      <c r="B21" s="1262">
        <v>43838</v>
      </c>
      <c r="C21" s="453">
        <v>1</v>
      </c>
      <c r="D21" s="360">
        <v>0</v>
      </c>
      <c r="E21" s="454">
        <f t="shared" si="0"/>
        <v>0.68335447018778295</v>
      </c>
      <c r="F21" s="227">
        <f t="shared" si="1"/>
        <v>0.316645529812217</v>
      </c>
      <c r="G21" s="444">
        <f t="shared" si="2"/>
        <v>171.98985430986417</v>
      </c>
      <c r="H21" s="337">
        <f t="shared" ref="H21:H30" si="3">$D$15*LN(EXP($D21/$D$15)+EXP($C21/$D$15))</f>
        <v>1.4949640332182719</v>
      </c>
      <c r="I21" s="206">
        <f t="shared" ref="I21:I28" si="4">(H21-H20)</f>
        <v>0.59387269849034297</v>
      </c>
      <c r="J21" s="194"/>
      <c r="K21" s="114">
        <f t="shared" ref="K21:K29" si="5">C21-C20</f>
        <v>1</v>
      </c>
      <c r="L21" s="100">
        <f t="shared" ref="L21:L29" si="6">D21-D20</f>
        <v>0</v>
      </c>
      <c r="M21" s="182">
        <f t="shared" ref="M21:M29" si="7">I21</f>
        <v>0.59387269849034297</v>
      </c>
      <c r="O21" s="7" t="str">
        <f t="shared" ref="O21:O29" si="8">IF(K21&gt;0,"Bought ",IF(K21&lt;0,"Sold ",""))&amp;IF(K21&lt;0,K21*-1,IF(K21&gt;0,K21,""))&amp;IF(K21&lt;&gt;0," Shares of State 1 at a cost of "&amp;ROUND($M21,5),"")</f>
        <v>Bought 1 Shares of State 1 at a cost of 0.59387</v>
      </c>
      <c r="P21" s="7" t="str">
        <f t="shared" ref="P21:P29" si="9">IF(L21&gt;0,"Bought ",IF(L21&lt;0,"Sold ",""))&amp;IF(L21&lt;0,L21*-1,IF(L21&gt;0,L21,""))&amp;IF(L21&lt;&gt;0," Shares of State 2 at a cost of "&amp;ROUND($M21,5),"")</f>
        <v/>
      </c>
      <c r="Q21" s="185" t="str">
        <f t="shared" ref="Q21:Q29" si="10">O21&amp;P21</f>
        <v>Bought 1 Shares of State 1 at a cost of 0.59387</v>
      </c>
    </row>
    <row r="22" spans="2:23" s="7" customFormat="1" ht="18.75" x14ac:dyDescent="0.3">
      <c r="B22" s="1262">
        <v>43845</v>
      </c>
      <c r="C22" s="453">
        <v>1</v>
      </c>
      <c r="D22" s="360">
        <v>2</v>
      </c>
      <c r="E22" s="454">
        <f t="shared" si="0"/>
        <v>0.316645529812217</v>
      </c>
      <c r="F22" s="227">
        <f t="shared" si="1"/>
        <v>0.68335447018778306</v>
      </c>
      <c r="G22" s="444">
        <f t="shared" si="2"/>
        <v>348.01014569013586</v>
      </c>
      <c r="H22" s="337">
        <f t="shared" si="3"/>
        <v>2.4949640332182721</v>
      </c>
      <c r="I22" s="206">
        <f t="shared" si="4"/>
        <v>1.0000000000000002</v>
      </c>
      <c r="J22" s="194"/>
      <c r="K22" s="114">
        <f t="shared" si="5"/>
        <v>0</v>
      </c>
      <c r="L22" s="100">
        <f t="shared" si="6"/>
        <v>2</v>
      </c>
      <c r="M22" s="182">
        <f t="shared" si="7"/>
        <v>1.0000000000000002</v>
      </c>
      <c r="O22" s="7" t="str">
        <f t="shared" si="8"/>
        <v/>
      </c>
      <c r="P22" s="7" t="str">
        <f t="shared" si="9"/>
        <v>Bought 2 Shares of State 2 at a cost of 1</v>
      </c>
      <c r="Q22" s="185" t="str">
        <f t="shared" si="10"/>
        <v>Bought 2 Shares of State 2 at a cost of 1</v>
      </c>
    </row>
    <row r="23" spans="2:23" s="7" customFormat="1" ht="18.75" x14ac:dyDescent="0.3">
      <c r="B23" s="1262">
        <v>43852</v>
      </c>
      <c r="C23" s="453">
        <v>2</v>
      </c>
      <c r="D23" s="360">
        <v>2</v>
      </c>
      <c r="E23" s="454">
        <f t="shared" si="0"/>
        <v>0.5</v>
      </c>
      <c r="F23" s="227">
        <f t="shared" si="1"/>
        <v>0.5</v>
      </c>
      <c r="G23" s="444">
        <f t="shared" si="2"/>
        <v>260</v>
      </c>
      <c r="H23" s="337">
        <f t="shared" si="3"/>
        <v>2.901091334727929</v>
      </c>
      <c r="I23" s="206">
        <f t="shared" si="4"/>
        <v>0.40612730150965692</v>
      </c>
      <c r="J23" s="194"/>
      <c r="K23" s="114">
        <f t="shared" si="5"/>
        <v>1</v>
      </c>
      <c r="L23" s="100">
        <f t="shared" si="6"/>
        <v>0</v>
      </c>
      <c r="M23" s="182">
        <f t="shared" si="7"/>
        <v>0.40612730150965692</v>
      </c>
      <c r="O23" s="7" t="str">
        <f t="shared" si="8"/>
        <v>Bought 1 Shares of State 1 at a cost of 0.40613</v>
      </c>
      <c r="P23" s="7" t="str">
        <f t="shared" si="9"/>
        <v/>
      </c>
      <c r="Q23" s="185" t="str">
        <f t="shared" si="10"/>
        <v>Bought 1 Shares of State 1 at a cost of 0.40613</v>
      </c>
    </row>
    <row r="24" spans="2:23" s="7" customFormat="1" ht="18.75" x14ac:dyDescent="0.3">
      <c r="B24" s="1262">
        <v>43859</v>
      </c>
      <c r="C24" s="453">
        <v>2</v>
      </c>
      <c r="D24" s="360">
        <v>12</v>
      </c>
      <c r="E24" s="454">
        <f t="shared" si="0"/>
        <v>4.5611576405646073E-4</v>
      </c>
      <c r="F24" s="227">
        <f t="shared" si="1"/>
        <v>0.99954388423594354</v>
      </c>
      <c r="G24" s="444">
        <f t="shared" si="2"/>
        <v>499.78106443325288</v>
      </c>
      <c r="H24" s="337">
        <f t="shared" si="3"/>
        <v>12.000593085761439</v>
      </c>
      <c r="I24" s="206">
        <f>(H24-H23)</f>
        <v>9.099501751033511</v>
      </c>
      <c r="J24" s="194"/>
      <c r="K24" s="114">
        <f t="shared" si="5"/>
        <v>0</v>
      </c>
      <c r="L24" s="100">
        <f t="shared" si="6"/>
        <v>10</v>
      </c>
      <c r="M24" s="182">
        <f t="shared" si="7"/>
        <v>9.099501751033511</v>
      </c>
      <c r="O24" s="7" t="str">
        <f t="shared" si="8"/>
        <v/>
      </c>
      <c r="P24" s="7" t="str">
        <f t="shared" si="9"/>
        <v>Bought 10 Shares of State 2 at a cost of 9.0995</v>
      </c>
      <c r="Q24" s="185" t="str">
        <f t="shared" si="10"/>
        <v>Bought 10 Shares of State 2 at a cost of 9.0995</v>
      </c>
    </row>
    <row r="25" spans="2:23" s="7" customFormat="1" ht="18.75" x14ac:dyDescent="0.3">
      <c r="B25" s="1262">
        <v>43866</v>
      </c>
      <c r="C25" s="453">
        <v>12</v>
      </c>
      <c r="D25" s="360">
        <v>12</v>
      </c>
      <c r="E25" s="454">
        <f t="shared" si="0"/>
        <v>0.5</v>
      </c>
      <c r="F25" s="227">
        <f t="shared" si="1"/>
        <v>0.5</v>
      </c>
      <c r="G25" s="444">
        <f t="shared" si="2"/>
        <v>260</v>
      </c>
      <c r="H25" s="337">
        <f t="shared" si="3"/>
        <v>12.901091334727928</v>
      </c>
      <c r="I25" s="206">
        <f t="shared" si="4"/>
        <v>0.900498248966489</v>
      </c>
      <c r="J25" s="194"/>
      <c r="K25" s="114">
        <f t="shared" si="5"/>
        <v>10</v>
      </c>
      <c r="L25" s="100">
        <f t="shared" si="6"/>
        <v>0</v>
      </c>
      <c r="M25" s="182">
        <f t="shared" si="7"/>
        <v>0.900498248966489</v>
      </c>
      <c r="O25" s="7" t="str">
        <f t="shared" si="8"/>
        <v>Bought 10 Shares of State 1 at a cost of 0.9005</v>
      </c>
      <c r="P25" s="7" t="str">
        <f t="shared" si="9"/>
        <v/>
      </c>
      <c r="Q25" s="185" t="str">
        <f t="shared" si="10"/>
        <v>Bought 10 Shares of State 1 at a cost of 0.9005</v>
      </c>
    </row>
    <row r="26" spans="2:23" s="7" customFormat="1" ht="18.75" x14ac:dyDescent="0.3">
      <c r="B26" s="1262">
        <v>43873</v>
      </c>
      <c r="C26" s="453">
        <v>12</v>
      </c>
      <c r="D26" s="360">
        <v>10</v>
      </c>
      <c r="E26" s="454">
        <f t="shared" si="0"/>
        <v>0.82324096688122073</v>
      </c>
      <c r="F26" s="227">
        <f t="shared" si="1"/>
        <v>0.17675903311877933</v>
      </c>
      <c r="G26" s="444">
        <f t="shared" si="2"/>
        <v>104.84433589701408</v>
      </c>
      <c r="H26" s="337">
        <f t="shared" si="3"/>
        <v>12.252858229384495</v>
      </c>
      <c r="I26" s="206">
        <f t="shared" si="4"/>
        <v>-0.64823310534343292</v>
      </c>
      <c r="J26" s="194"/>
      <c r="K26" s="114">
        <f t="shared" si="5"/>
        <v>0</v>
      </c>
      <c r="L26" s="100">
        <f t="shared" si="6"/>
        <v>-2</v>
      </c>
      <c r="M26" s="182">
        <f t="shared" si="7"/>
        <v>-0.64823310534343292</v>
      </c>
      <c r="O26" s="7" t="str">
        <f t="shared" si="8"/>
        <v/>
      </c>
      <c r="P26" s="7" t="str">
        <f t="shared" si="9"/>
        <v>Sold 2 Shares of State 2 at a cost of -0.64823</v>
      </c>
      <c r="Q26" s="185" t="str">
        <f t="shared" si="10"/>
        <v>Sold 2 Shares of State 2 at a cost of -0.64823</v>
      </c>
    </row>
    <row r="27" spans="2:23" s="7" customFormat="1" ht="18.75" x14ac:dyDescent="0.3">
      <c r="B27" s="1262">
        <v>43880</v>
      </c>
      <c r="C27" s="453">
        <v>8</v>
      </c>
      <c r="D27" s="360">
        <v>10</v>
      </c>
      <c r="E27" s="454">
        <f t="shared" si="0"/>
        <v>0.1767590331187793</v>
      </c>
      <c r="F27" s="227">
        <f t="shared" si="1"/>
        <v>0.82324096688122073</v>
      </c>
      <c r="G27" s="444">
        <f t="shared" si="2"/>
        <v>415.15566410298595</v>
      </c>
      <c r="H27" s="337">
        <f t="shared" si="3"/>
        <v>10.252858229384497</v>
      </c>
      <c r="I27" s="206">
        <f t="shared" si="4"/>
        <v>-1.9999999999999982</v>
      </c>
      <c r="J27" s="194"/>
      <c r="K27" s="114">
        <f t="shared" si="5"/>
        <v>-4</v>
      </c>
      <c r="L27" s="100">
        <f t="shared" si="6"/>
        <v>0</v>
      </c>
      <c r="M27" s="182">
        <f t="shared" si="7"/>
        <v>-1.9999999999999982</v>
      </c>
      <c r="O27" s="7" t="str">
        <f t="shared" si="8"/>
        <v>Sold 4 Shares of State 1 at a cost of -2</v>
      </c>
      <c r="P27" s="7" t="str">
        <f t="shared" si="9"/>
        <v/>
      </c>
      <c r="Q27" s="185" t="str">
        <f t="shared" si="10"/>
        <v>Sold 4 Shares of State 1 at a cost of -2</v>
      </c>
    </row>
    <row r="28" spans="2:23" s="7" customFormat="1" ht="18.75" x14ac:dyDescent="0.3">
      <c r="B28" s="1262">
        <v>43887</v>
      </c>
      <c r="C28" s="453">
        <v>12</v>
      </c>
      <c r="D28" s="360">
        <v>10</v>
      </c>
      <c r="E28" s="454">
        <f t="shared" si="0"/>
        <v>0.82324096688122073</v>
      </c>
      <c r="F28" s="227">
        <f t="shared" si="1"/>
        <v>0.17675903311877933</v>
      </c>
      <c r="G28" s="444">
        <f t="shared" si="2"/>
        <v>104.84433589701408</v>
      </c>
      <c r="H28" s="337">
        <f t="shared" si="3"/>
        <v>12.252858229384495</v>
      </c>
      <c r="I28" s="206">
        <f t="shared" si="4"/>
        <v>1.9999999999999982</v>
      </c>
      <c r="J28" s="194"/>
      <c r="K28" s="114">
        <f t="shared" si="5"/>
        <v>4</v>
      </c>
      <c r="L28" s="100">
        <f t="shared" si="6"/>
        <v>0</v>
      </c>
      <c r="M28" s="182">
        <f t="shared" si="7"/>
        <v>1.9999999999999982</v>
      </c>
      <c r="O28" s="7" t="str">
        <f t="shared" si="8"/>
        <v>Bought 4 Shares of State 1 at a cost of 2</v>
      </c>
      <c r="P28" s="7" t="str">
        <f t="shared" si="9"/>
        <v/>
      </c>
      <c r="Q28" s="185" t="str">
        <f t="shared" si="10"/>
        <v>Bought 4 Shares of State 1 at a cost of 2</v>
      </c>
    </row>
    <row r="29" spans="2:23" s="7" customFormat="1" ht="19.5" thickBot="1" x14ac:dyDescent="0.35">
      <c r="B29" s="1262">
        <v>43894</v>
      </c>
      <c r="C29" s="247">
        <v>12</v>
      </c>
      <c r="D29" s="173">
        <v>6</v>
      </c>
      <c r="E29" s="456">
        <f>EXP(C29/$D$15)/(EXP($D29/$D$15)+EXP($C29/$D$15))</f>
        <v>0.99019864191656659</v>
      </c>
      <c r="F29" s="219">
        <f t="shared" si="1"/>
        <v>9.8013580834333813E-3</v>
      </c>
      <c r="G29" s="445">
        <f t="shared" si="2"/>
        <v>24.704651880048022</v>
      </c>
      <c r="H29" s="338">
        <f t="shared" si="3"/>
        <v>12.012804619854164</v>
      </c>
      <c r="I29" s="431">
        <f>(H29-H28)</f>
        <v>-0.24005360953033161</v>
      </c>
      <c r="J29" s="194"/>
      <c r="K29" s="119">
        <f t="shared" si="5"/>
        <v>0</v>
      </c>
      <c r="L29" s="102">
        <f t="shared" si="6"/>
        <v>-4</v>
      </c>
      <c r="M29" s="182">
        <f t="shared" si="7"/>
        <v>-0.24005360953033161</v>
      </c>
      <c r="O29" s="7" t="str">
        <f t="shared" si="8"/>
        <v/>
      </c>
      <c r="P29" s="7" t="str">
        <f t="shared" si="9"/>
        <v>Sold 4 Shares of State 2 at a cost of -0.24005</v>
      </c>
      <c r="Q29" s="185" t="str">
        <f t="shared" si="10"/>
        <v>Sold 4 Shares of State 2 at a cost of -0.24005</v>
      </c>
    </row>
    <row r="30" spans="2:23" s="7" customFormat="1" ht="16.5" thickTop="1" thickBot="1" x14ac:dyDescent="0.3">
      <c r="B30" s="25" t="s">
        <v>738</v>
      </c>
      <c r="C30" s="376">
        <f>C29</f>
        <v>12</v>
      </c>
      <c r="D30" s="373">
        <f>D29</f>
        <v>6</v>
      </c>
      <c r="E30" s="426">
        <f>E34</f>
        <v>0.91041666666666665</v>
      </c>
      <c r="F30" s="470">
        <f>F34</f>
        <v>8.9583333333333334E-2</v>
      </c>
      <c r="G30" s="446">
        <f t="shared" si="2"/>
        <v>63</v>
      </c>
      <c r="H30" s="439">
        <f t="shared" si="3"/>
        <v>12.012804619854164</v>
      </c>
      <c r="I30" s="194"/>
      <c r="J30" s="8"/>
      <c r="P30" s="8"/>
      <c r="Q30" s="8"/>
      <c r="R30" s="8"/>
    </row>
    <row r="31" spans="2:23" s="7" customFormat="1" ht="19.5" thickBot="1" x14ac:dyDescent="0.35">
      <c r="B31"/>
      <c r="C31" s="33"/>
      <c r="D31" s="33"/>
      <c r="E31" s="84"/>
      <c r="F31" s="84"/>
      <c r="G31" s="33"/>
      <c r="H31" s="263">
        <f>SUMPRODUCT(C30:D30,E30:F30)</f>
        <v>11.4625</v>
      </c>
      <c r="I31" t="s">
        <v>109</v>
      </c>
      <c r="P31"/>
      <c r="Q31" s="185" t="str">
        <f>C30&amp;" Shares of State 1 were redeemed for "&amp;ROUND(E30,3)&amp;" each, and "&amp;D30&amp;" Shares of State 2 were redeemed for "&amp;ROUND(F30,3)&amp;" each."</f>
        <v>12 Shares of State 1 were redeemed for 0.91 each, and 6 Shares of State 2 were redeemed for 0.09 each.</v>
      </c>
      <c r="R31"/>
    </row>
    <row r="32" spans="2:23" s="7" customFormat="1" ht="19.5" thickBot="1" x14ac:dyDescent="0.35">
      <c r="C32" s="140"/>
      <c r="E32" s="18"/>
      <c r="F32" s="18"/>
      <c r="G32" s="207"/>
      <c r="H32" s="263">
        <f>H30-H31</f>
        <v>0.55030461985416324</v>
      </c>
      <c r="I32" s="7" t="s">
        <v>788</v>
      </c>
      <c r="Q32" s="185" t="str">
        <f>ROUND(H32,2)&amp;" was left over. It is returned to the Market-author."</f>
        <v>0.55 was left over. It is returned to the Market-author.</v>
      </c>
    </row>
    <row r="33" spans="2:18" s="7" customFormat="1" ht="19.5" thickBot="1" x14ac:dyDescent="0.35">
      <c r="C33" s="1"/>
      <c r="D33" s="150"/>
      <c r="E33" s="268" t="s">
        <v>167</v>
      </c>
      <c r="F33" s="428" t="s">
        <v>150</v>
      </c>
      <c r="G33" s="207"/>
      <c r="H33" s="974"/>
      <c r="I33" s="1240"/>
      <c r="J33" s="8"/>
      <c r="K33" s="8"/>
      <c r="L33" s="8"/>
      <c r="M33" s="8"/>
      <c r="N33" s="8"/>
      <c r="O33" s="8"/>
      <c r="P33" s="8"/>
      <c r="Q33" s="243"/>
      <c r="R33" s="28"/>
    </row>
    <row r="34" spans="2:18" ht="15.75" thickBot="1" x14ac:dyDescent="0.3">
      <c r="C34" s="288" t="s">
        <v>168</v>
      </c>
      <c r="D34" s="425">
        <v>63</v>
      </c>
      <c r="E34" s="429">
        <f>1-F34</f>
        <v>0.91041666666666665</v>
      </c>
      <c r="F34" s="430">
        <f>(D34-D6)/D8</f>
        <v>8.9583333333333334E-2</v>
      </c>
      <c r="G34" s="207"/>
      <c r="H34" s="140"/>
      <c r="I34" s="479"/>
      <c r="J34" s="140"/>
      <c r="K34" s="8"/>
      <c r="L34" s="8"/>
      <c r="M34" s="8"/>
      <c r="N34" s="8"/>
      <c r="O34" s="8"/>
      <c r="P34" s="8"/>
      <c r="Q34" s="28"/>
      <c r="R34" s="8"/>
    </row>
    <row r="35" spans="2:18" x14ac:dyDescent="0.25">
      <c r="C35" s="33" t="s">
        <v>211</v>
      </c>
      <c r="G35" s="207"/>
      <c r="H35" s="140"/>
      <c r="I35" s="140"/>
      <c r="J35" s="140"/>
      <c r="K35" s="8"/>
      <c r="L35" s="8"/>
      <c r="M35" s="8"/>
      <c r="N35" s="8"/>
      <c r="O35" s="8"/>
      <c r="P35" s="8"/>
      <c r="Q35" s="8"/>
      <c r="R35" s="8"/>
    </row>
    <row r="36" spans="2:18" x14ac:dyDescent="0.25">
      <c r="C36" s="33" t="s">
        <v>214</v>
      </c>
      <c r="G36" s="207"/>
      <c r="H36" s="140"/>
      <c r="I36" s="140"/>
      <c r="J36" s="140"/>
      <c r="K36" s="8"/>
      <c r="L36" s="8"/>
      <c r="M36" s="8"/>
      <c r="N36" s="8"/>
      <c r="O36" s="8"/>
      <c r="P36" s="8"/>
      <c r="Q36" s="8"/>
      <c r="R36" s="8"/>
    </row>
    <row r="37" spans="2:18" x14ac:dyDescent="0.25">
      <c r="G37" s="207"/>
    </row>
    <row r="38" spans="2:18" x14ac:dyDescent="0.25">
      <c r="B38" t="s">
        <v>142</v>
      </c>
    </row>
    <row r="39" spans="2:18" x14ac:dyDescent="0.25">
      <c r="B39" s="33" t="s">
        <v>104</v>
      </c>
    </row>
    <row r="40" spans="2:18" x14ac:dyDescent="0.25">
      <c r="B40" s="33" t="s">
        <v>734</v>
      </c>
    </row>
    <row r="42" spans="2:18" x14ac:dyDescent="0.25">
      <c r="B42" s="33" t="s">
        <v>209</v>
      </c>
    </row>
    <row r="44" spans="2:18" x14ac:dyDescent="0.25">
      <c r="B44" t="s">
        <v>143</v>
      </c>
    </row>
    <row r="46" spans="2:18" x14ac:dyDescent="0.25">
      <c r="B46" t="s">
        <v>404</v>
      </c>
    </row>
    <row r="47" spans="2:18" x14ac:dyDescent="0.25">
      <c r="B47" s="33"/>
      <c r="C47" s="188"/>
    </row>
    <row r="48" spans="2:18" x14ac:dyDescent="0.25">
      <c r="C48" s="458">
        <f>SUM(E22:F22)</f>
        <v>1</v>
      </c>
    </row>
    <row r="49" spans="3:5" x14ac:dyDescent="0.25">
      <c r="C49" s="458">
        <f>SUM(E23:F23)</f>
        <v>1</v>
      </c>
      <c r="E49" s="7"/>
    </row>
    <row r="50" spans="3:5" x14ac:dyDescent="0.25">
      <c r="C50" s="458">
        <f>SUM(E24:F24)</f>
        <v>1</v>
      </c>
    </row>
    <row r="51" spans="3:5" x14ac:dyDescent="0.25">
      <c r="C51" s="458"/>
    </row>
    <row r="54" spans="3:5" x14ac:dyDescent="0.25">
      <c r="C54" s="458"/>
    </row>
    <row r="56" spans="3:5" x14ac:dyDescent="0.25">
      <c r="C56" s="459"/>
      <c r="D56" s="459"/>
    </row>
    <row r="57" spans="3:5" x14ac:dyDescent="0.25">
      <c r="C57" s="459"/>
      <c r="D57" s="459"/>
    </row>
    <row r="58" spans="3:5" x14ac:dyDescent="0.25">
      <c r="C58" s="459"/>
      <c r="D58" s="459"/>
    </row>
    <row r="59" spans="3:5" x14ac:dyDescent="0.25">
      <c r="C59" s="459"/>
      <c r="D59" s="459"/>
    </row>
    <row r="60" spans="3:5" x14ac:dyDescent="0.25">
      <c r="C60" s="459"/>
      <c r="D60" s="459"/>
    </row>
    <row r="61" spans="3:5" x14ac:dyDescent="0.25">
      <c r="C61" s="459"/>
      <c r="D61" s="459"/>
    </row>
    <row r="62" spans="3:5" x14ac:dyDescent="0.25">
      <c r="C62" s="459"/>
      <c r="D62" s="459"/>
    </row>
    <row r="63" spans="3:5" x14ac:dyDescent="0.25">
      <c r="C63" s="459"/>
      <c r="D63" s="459"/>
    </row>
    <row r="64" spans="3:5" x14ac:dyDescent="0.25">
      <c r="C64" s="459"/>
      <c r="D64" s="459"/>
    </row>
  </sheetData>
  <mergeCells count="3">
    <mergeCell ref="K18:L18"/>
    <mergeCell ref="B5:B11"/>
    <mergeCell ref="B13:B16"/>
  </mergeCells>
  <hyperlinks>
    <hyperlink ref="D10" r:id="rId1" xr:uid="{20C8950B-5E77-4627-A4E0-6C7092024F4E}"/>
    <hyperlink ref="D9" r:id="rId2" xr:uid="{73C7FF38-097D-44A5-BB9B-E687492741DE}"/>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80BF-E960-40FF-B4DA-1D9758C5166C}">
  <sheetPr>
    <tabColor rgb="FF00B050"/>
  </sheetPr>
  <dimension ref="B2:AV123"/>
  <sheetViews>
    <sheetView zoomScale="70" zoomScaleNormal="70" workbookViewId="0">
      <selection activeCell="B4" sqref="B4"/>
    </sheetView>
  </sheetViews>
  <sheetFormatPr defaultRowHeight="15" x14ac:dyDescent="0.25"/>
  <cols>
    <col min="2" max="2" width="11.85546875" customWidth="1"/>
    <col min="3" max="4" width="11.42578125" style="33" customWidth="1"/>
    <col min="5" max="6" width="20.28515625" style="33" customWidth="1"/>
    <col min="7" max="7" width="13" style="33" customWidth="1"/>
    <col min="8" max="8" width="13.5703125" style="33" customWidth="1"/>
    <col min="9" max="9" width="13.42578125" style="33" customWidth="1"/>
    <col min="10" max="10" width="18.42578125" style="33" customWidth="1"/>
    <col min="11" max="11" width="12" style="33" customWidth="1"/>
    <col min="12" max="12" width="0" hidden="1" customWidth="1"/>
    <col min="13" max="13" width="9.42578125" hidden="1" customWidth="1"/>
    <col min="14" max="14" width="12.7109375" hidden="1" customWidth="1"/>
    <col min="15" max="15" width="10.28515625" hidden="1" customWidth="1"/>
    <col min="16" max="16" width="10.7109375" hidden="1" customWidth="1"/>
    <col min="17" max="17" width="1.85546875" hidden="1" customWidth="1"/>
    <col min="18" max="18" width="11.7109375" customWidth="1"/>
    <col min="19" max="19" width="12" customWidth="1"/>
    <col min="20" max="20" width="12.140625" customWidth="1"/>
    <col min="21" max="21" width="10.5703125" customWidth="1"/>
    <col min="23" max="23" width="11.42578125" customWidth="1"/>
    <col min="24" max="24" width="11.140625" customWidth="1"/>
    <col min="25" max="25" width="10.5703125" bestFit="1" customWidth="1"/>
    <col min="26" max="26" width="10.140625" customWidth="1"/>
    <col min="30" max="30" width="20.5703125" customWidth="1"/>
    <col min="31" max="31" width="23" customWidth="1"/>
    <col min="32" max="32" width="10" customWidth="1"/>
    <col min="33" max="33" width="16.140625" customWidth="1"/>
    <col min="34" max="37" width="10.42578125" bestFit="1" customWidth="1"/>
    <col min="38" max="39" width="16.28515625" bestFit="1" customWidth="1"/>
    <col min="40" max="40" width="8.42578125" customWidth="1"/>
    <col min="41" max="41" width="45.140625" customWidth="1"/>
    <col min="42" max="42" width="10.42578125" customWidth="1"/>
    <col min="45" max="45" width="9.5703125" customWidth="1"/>
    <col min="48" max="48" width="20.140625" bestFit="1" customWidth="1"/>
  </cols>
  <sheetData>
    <row r="2" spans="2:40" ht="32.25" thickBot="1" x14ac:dyDescent="0.55000000000000004">
      <c r="B2" s="186" t="s">
        <v>360</v>
      </c>
      <c r="AD2" t="s">
        <v>701</v>
      </c>
    </row>
    <row r="3" spans="2:40" ht="17.25" customHeight="1" x14ac:dyDescent="0.25">
      <c r="B3" s="1326" t="s">
        <v>1293</v>
      </c>
      <c r="AD3" s="1178" t="s">
        <v>694</v>
      </c>
      <c r="AE3" s="1179"/>
      <c r="AF3" s="1179"/>
      <c r="AG3" s="1179"/>
      <c r="AH3" s="1179"/>
      <c r="AI3" s="1179"/>
      <c r="AJ3" s="1179"/>
      <c r="AK3" s="1179"/>
      <c r="AL3" s="1179"/>
      <c r="AM3" s="1179"/>
      <c r="AN3" s="1180"/>
    </row>
    <row r="4" spans="2:40" ht="17.25" customHeight="1" x14ac:dyDescent="0.5">
      <c r="B4" s="186"/>
      <c r="AD4" s="1197" t="s">
        <v>715</v>
      </c>
      <c r="AE4" s="7"/>
      <c r="AF4" s="7"/>
      <c r="AG4" s="7"/>
      <c r="AH4" s="7"/>
      <c r="AI4" s="7"/>
      <c r="AJ4" s="7"/>
      <c r="AK4" s="7"/>
      <c r="AL4" s="7"/>
      <c r="AM4" s="7"/>
      <c r="AN4" s="1182"/>
    </row>
    <row r="5" spans="2:40" ht="17.25" customHeight="1" x14ac:dyDescent="0.25">
      <c r="B5" s="1564" t="s">
        <v>159</v>
      </c>
      <c r="C5" s="150" t="s">
        <v>565</v>
      </c>
      <c r="D5" s="150" t="s">
        <v>644</v>
      </c>
      <c r="E5" s="150"/>
      <c r="F5" s="264"/>
      <c r="G5" s="264"/>
      <c r="H5" s="264"/>
      <c r="I5" s="264"/>
      <c r="J5" s="264"/>
      <c r="K5" s="264"/>
      <c r="L5" s="150"/>
      <c r="M5" s="150"/>
      <c r="N5" s="150"/>
      <c r="O5" s="150"/>
      <c r="P5" s="150"/>
      <c r="Q5" s="150"/>
      <c r="R5" s="150"/>
      <c r="S5" s="150"/>
      <c r="T5" s="150"/>
      <c r="U5" s="237"/>
      <c r="AD5" s="1181"/>
      <c r="AE5" s="7"/>
      <c r="AF5" s="7"/>
      <c r="AG5" s="7"/>
      <c r="AH5" s="7"/>
      <c r="AI5" s="7"/>
      <c r="AJ5" s="7"/>
      <c r="AK5" s="7"/>
      <c r="AL5" s="7"/>
      <c r="AM5" s="7"/>
      <c r="AN5" s="1182"/>
    </row>
    <row r="6" spans="2:40" ht="17.25" customHeight="1" x14ac:dyDescent="0.25">
      <c r="B6" s="1565"/>
      <c r="C6" s="17" t="s">
        <v>145</v>
      </c>
      <c r="D6" s="1075">
        <v>1</v>
      </c>
      <c r="E6" s="7" t="s">
        <v>146</v>
      </c>
      <c r="F6" s="17" t="s">
        <v>777</v>
      </c>
      <c r="G6" s="436"/>
      <c r="H6" s="17"/>
      <c r="I6" s="17"/>
      <c r="J6" s="17"/>
      <c r="K6" s="17"/>
      <c r="L6" s="7"/>
      <c r="M6" s="7"/>
      <c r="N6" s="7"/>
      <c r="O6" s="7"/>
      <c r="P6" s="7"/>
      <c r="Q6" s="7"/>
      <c r="R6" s="7"/>
      <c r="S6" s="7"/>
      <c r="T6" s="7"/>
      <c r="U6" s="6"/>
      <c r="AD6" s="1181"/>
      <c r="AE6" s="7"/>
      <c r="AF6" s="7"/>
      <c r="AG6" s="7"/>
      <c r="AH6" s="7"/>
      <c r="AI6" s="7"/>
      <c r="AJ6" s="7"/>
      <c r="AK6" s="7"/>
      <c r="AL6" s="7"/>
      <c r="AM6" s="7"/>
      <c r="AN6" s="1182"/>
    </row>
    <row r="7" spans="2:40" ht="17.25" customHeight="1" x14ac:dyDescent="0.25">
      <c r="B7" s="1565"/>
      <c r="C7" s="17" t="s">
        <v>148</v>
      </c>
      <c r="D7" s="1306" t="s">
        <v>776</v>
      </c>
      <c r="E7" s="7" t="s">
        <v>147</v>
      </c>
      <c r="F7" s="860"/>
      <c r="G7" s="436"/>
      <c r="H7" s="17"/>
      <c r="I7" s="17"/>
      <c r="J7" s="17"/>
      <c r="K7" s="17"/>
      <c r="L7" s="7"/>
      <c r="M7" s="7"/>
      <c r="N7" s="7"/>
      <c r="O7" s="7"/>
      <c r="P7" s="7"/>
      <c r="Q7" s="7"/>
      <c r="R7" s="7"/>
      <c r="S7" s="7"/>
      <c r="T7" s="7"/>
      <c r="U7" s="6"/>
      <c r="AD7" s="1181"/>
      <c r="AE7" s="7"/>
      <c r="AF7" s="7"/>
      <c r="AG7" s="7"/>
      <c r="AH7" s="7"/>
      <c r="AI7" s="7"/>
      <c r="AJ7" s="7"/>
      <c r="AK7" s="7"/>
      <c r="AL7" s="7"/>
      <c r="AM7" s="7"/>
      <c r="AN7" s="1182"/>
    </row>
    <row r="8" spans="2:40" ht="17.25" customHeight="1" x14ac:dyDescent="0.25">
      <c r="B8" s="1565"/>
      <c r="C8" s="140" t="s">
        <v>149</v>
      </c>
      <c r="D8" s="1171" t="s">
        <v>775</v>
      </c>
      <c r="E8" s="7" t="s">
        <v>699</v>
      </c>
      <c r="F8" s="860"/>
      <c r="G8" s="17"/>
      <c r="H8" s="17"/>
      <c r="I8" s="17"/>
      <c r="J8" s="17"/>
      <c r="K8" s="17"/>
      <c r="L8" s="7"/>
      <c r="M8" s="7"/>
      <c r="N8" s="7"/>
      <c r="O8" s="7"/>
      <c r="P8" s="7"/>
      <c r="Q8" s="7"/>
      <c r="R8" s="7"/>
      <c r="S8" s="7"/>
      <c r="T8" s="7"/>
      <c r="U8" s="6"/>
      <c r="AD8" s="1183"/>
      <c r="AE8" s="1177" t="s">
        <v>698</v>
      </c>
      <c r="AF8" s="7"/>
      <c r="AG8" s="7"/>
      <c r="AH8" s="7"/>
      <c r="AI8" s="7"/>
      <c r="AJ8" s="7"/>
      <c r="AK8" s="7"/>
      <c r="AL8" s="7"/>
      <c r="AM8" s="7"/>
      <c r="AN8" s="1182"/>
    </row>
    <row r="9" spans="2:40" ht="17.25" customHeight="1" x14ac:dyDescent="0.25">
      <c r="B9" s="1565"/>
      <c r="C9" s="140" t="s">
        <v>153</v>
      </c>
      <c r="D9" s="190" t="s">
        <v>107</v>
      </c>
      <c r="E9" s="8" t="s">
        <v>156</v>
      </c>
      <c r="F9" s="17"/>
      <c r="G9" s="17"/>
      <c r="H9" s="140" t="s">
        <v>700</v>
      </c>
      <c r="I9" s="17"/>
      <c r="J9" s="17"/>
      <c r="K9" s="17"/>
      <c r="L9" s="7"/>
      <c r="M9" s="7"/>
      <c r="N9" s="7"/>
      <c r="O9" s="7"/>
      <c r="P9" s="7"/>
      <c r="Q9" s="7"/>
      <c r="R9" s="7"/>
      <c r="S9" s="7"/>
      <c r="T9" s="7"/>
      <c r="U9" s="6"/>
      <c r="AD9" s="1184" t="s">
        <v>696</v>
      </c>
      <c r="AE9" s="1175" t="s">
        <v>697</v>
      </c>
      <c r="AF9" s="7"/>
      <c r="AG9" s="7"/>
      <c r="AH9" s="7"/>
      <c r="AI9" s="7"/>
      <c r="AJ9" s="7"/>
      <c r="AK9" s="7"/>
      <c r="AL9" s="7"/>
      <c r="AM9" s="7"/>
      <c r="AN9" s="1182"/>
    </row>
    <row r="10" spans="2:40" ht="17.25" customHeight="1" x14ac:dyDescent="0.25">
      <c r="B10" s="1565"/>
      <c r="C10" s="140" t="s">
        <v>154</v>
      </c>
      <c r="D10" s="190" t="s">
        <v>106</v>
      </c>
      <c r="E10" s="8" t="s">
        <v>157</v>
      </c>
      <c r="F10" s="17"/>
      <c r="G10" s="17"/>
      <c r="H10" s="140" t="s">
        <v>702</v>
      </c>
      <c r="I10" s="17"/>
      <c r="J10" s="17"/>
      <c r="K10" s="17"/>
      <c r="L10" s="7"/>
      <c r="M10" s="7"/>
      <c r="N10" s="7"/>
      <c r="O10" s="7"/>
      <c r="P10" s="7"/>
      <c r="Q10" s="7"/>
      <c r="R10" s="7"/>
      <c r="S10" s="7"/>
      <c r="T10" s="7"/>
      <c r="U10" s="6"/>
      <c r="AD10" s="1184"/>
      <c r="AE10" s="1175"/>
      <c r="AF10" s="7"/>
      <c r="AG10" s="7"/>
      <c r="AH10" s="7"/>
      <c r="AI10" s="7"/>
      <c r="AJ10" s="7"/>
      <c r="AK10" s="7"/>
      <c r="AL10" s="7"/>
      <c r="AM10" s="7"/>
      <c r="AN10" s="1182"/>
    </row>
    <row r="11" spans="2:40" ht="17.25" customHeight="1" x14ac:dyDescent="0.25">
      <c r="B11" s="1566"/>
      <c r="C11" s="265" t="s">
        <v>155</v>
      </c>
      <c r="D11" s="266" t="s">
        <v>105</v>
      </c>
      <c r="E11" s="267" t="s">
        <v>158</v>
      </c>
      <c r="F11" s="257"/>
      <c r="G11" s="257"/>
      <c r="H11" s="257"/>
      <c r="I11" s="257"/>
      <c r="J11" s="257"/>
      <c r="K11" s="257"/>
      <c r="L11" s="245"/>
      <c r="M11" s="245"/>
      <c r="N11" s="245"/>
      <c r="O11" s="245"/>
      <c r="P11" s="245"/>
      <c r="Q11" s="245"/>
      <c r="R11" s="245"/>
      <c r="S11" s="245"/>
      <c r="T11" s="245"/>
      <c r="U11" s="3"/>
      <c r="AD11" s="1184"/>
      <c r="AE11" s="1176"/>
      <c r="AF11" s="7"/>
      <c r="AG11" s="7"/>
      <c r="AH11" s="7"/>
      <c r="AI11" s="7"/>
      <c r="AJ11" s="7"/>
      <c r="AK11" s="7"/>
      <c r="AL11" s="7"/>
      <c r="AM11" s="7"/>
      <c r="AN11" s="1182"/>
    </row>
    <row r="12" spans="2:40" ht="17.25" customHeight="1" thickBot="1" x14ac:dyDescent="0.3">
      <c r="B12" s="7"/>
      <c r="C12" s="7"/>
      <c r="D12" s="7"/>
      <c r="AD12" s="1185"/>
      <c r="AE12" s="1176"/>
      <c r="AF12" s="7"/>
      <c r="AG12" s="7"/>
      <c r="AH12" s="7"/>
      <c r="AI12" s="7"/>
      <c r="AJ12" s="7"/>
      <c r="AK12" s="7"/>
      <c r="AL12" s="7"/>
      <c r="AM12" s="7"/>
      <c r="AN12" s="1182"/>
    </row>
    <row r="13" spans="2:40" ht="17.25" customHeight="1" thickBot="1" x14ac:dyDescent="0.3">
      <c r="B13" s="1592" t="s">
        <v>148</v>
      </c>
      <c r="C13" s="273" t="s">
        <v>160</v>
      </c>
      <c r="D13" s="274" t="s">
        <v>161</v>
      </c>
      <c r="E13" s="251" t="s">
        <v>162</v>
      </c>
      <c r="F13" s="251"/>
      <c r="G13" s="251"/>
      <c r="H13" s="251" t="s">
        <v>215</v>
      </c>
      <c r="I13" s="251"/>
      <c r="J13" s="249"/>
      <c r="K13" s="17"/>
      <c r="L13" s="7"/>
      <c r="M13" s="7"/>
      <c r="N13" s="7"/>
      <c r="O13" s="7"/>
      <c r="P13" s="7"/>
      <c r="Q13" s="7"/>
      <c r="R13" s="7"/>
      <c r="X13" s="1595" t="s">
        <v>741</v>
      </c>
      <c r="Y13" s="1595"/>
      <c r="Z13" s="1595"/>
      <c r="AA13" s="1595"/>
      <c r="AB13" s="1595"/>
      <c r="AC13" s="1595"/>
      <c r="AD13" s="1186"/>
      <c r="AE13" s="1187"/>
      <c r="AF13" s="1188"/>
      <c r="AG13" s="1188"/>
      <c r="AH13" s="1188"/>
      <c r="AI13" s="1188"/>
      <c r="AJ13" s="1188"/>
      <c r="AK13" s="1188"/>
      <c r="AL13" s="1188"/>
      <c r="AM13" s="1188"/>
      <c r="AN13" s="1189"/>
    </row>
    <row r="14" spans="2:40" ht="17.25" customHeight="1" x14ac:dyDescent="0.25">
      <c r="B14" s="1593"/>
      <c r="C14" s="17" t="s">
        <v>135</v>
      </c>
      <c r="D14" s="254">
        <v>2</v>
      </c>
      <c r="E14" s="17" t="s">
        <v>136</v>
      </c>
      <c r="F14" s="17"/>
      <c r="G14" s="17"/>
      <c r="H14" s="17"/>
      <c r="I14" s="17"/>
      <c r="J14" s="195"/>
      <c r="K14" s="17"/>
      <c r="L14" s="7"/>
      <c r="M14" s="7"/>
      <c r="N14" s="7"/>
      <c r="O14" s="7"/>
      <c r="P14" s="7"/>
      <c r="Q14" s="7"/>
      <c r="R14" s="7"/>
      <c r="X14" s="1595"/>
      <c r="Y14" s="1595"/>
      <c r="Z14" s="1595"/>
      <c r="AA14" s="1595"/>
      <c r="AB14" s="1595"/>
      <c r="AC14" s="1595"/>
    </row>
    <row r="15" spans="2:40" ht="17.25" customHeight="1" thickBot="1" x14ac:dyDescent="0.3">
      <c r="B15" s="1593"/>
      <c r="C15" s="17" t="s">
        <v>5</v>
      </c>
      <c r="D15" s="1242">
        <v>90</v>
      </c>
      <c r="E15" s="17" t="s">
        <v>139</v>
      </c>
      <c r="F15" s="17"/>
      <c r="G15" s="17"/>
      <c r="H15" s="17" t="s">
        <v>216</v>
      </c>
      <c r="I15" s="17"/>
      <c r="J15" s="195"/>
      <c r="K15" s="17"/>
      <c r="L15" s="7"/>
      <c r="M15" s="7"/>
      <c r="N15" s="7"/>
      <c r="O15" s="7"/>
      <c r="P15" s="7"/>
      <c r="Q15" s="7"/>
      <c r="R15" s="7"/>
    </row>
    <row r="16" spans="2:40" ht="17.25" customHeight="1" thickBot="1" x14ac:dyDescent="0.3">
      <c r="B16" s="1594"/>
      <c r="C16" s="166" t="s">
        <v>137</v>
      </c>
      <c r="D16" s="438">
        <f>D15*LN(D14)</f>
        <v>62.383246250395075</v>
      </c>
      <c r="E16" s="166" t="s">
        <v>138</v>
      </c>
      <c r="F16" s="252"/>
      <c r="G16" s="252"/>
      <c r="H16" s="252"/>
      <c r="I16" s="252"/>
      <c r="J16" s="250"/>
      <c r="K16" s="17"/>
      <c r="L16" s="7"/>
      <c r="M16" s="7"/>
      <c r="N16" s="7"/>
      <c r="O16" s="7"/>
      <c r="P16" s="7"/>
      <c r="Q16" s="7"/>
      <c r="R16" s="7"/>
      <c r="AD16" s="1178" t="s">
        <v>695</v>
      </c>
      <c r="AE16" s="1179"/>
      <c r="AF16" s="1179"/>
      <c r="AG16" s="1179"/>
      <c r="AH16" s="1179"/>
      <c r="AI16" s="1179"/>
      <c r="AJ16" s="1179"/>
      <c r="AK16" s="1179"/>
      <c r="AL16" s="1179"/>
      <c r="AM16" s="1179"/>
      <c r="AN16" s="1180"/>
    </row>
    <row r="17" spans="2:40" ht="17.25" customHeight="1" x14ac:dyDescent="0.25">
      <c r="B17" s="255"/>
      <c r="F17" s="17"/>
      <c r="G17" s="17"/>
      <c r="H17" s="17"/>
      <c r="I17" s="17"/>
      <c r="J17" s="17"/>
      <c r="K17" s="17"/>
      <c r="L17" s="7"/>
      <c r="M17" s="7"/>
      <c r="N17" s="7"/>
      <c r="O17" s="7"/>
      <c r="P17" s="7"/>
      <c r="Q17" s="7"/>
      <c r="R17" s="7"/>
      <c r="AD17" s="1197" t="s">
        <v>716</v>
      </c>
      <c r="AE17" s="7"/>
      <c r="AF17" s="7"/>
      <c r="AG17" s="7"/>
      <c r="AH17" s="7"/>
      <c r="AI17" s="7"/>
      <c r="AJ17" s="7"/>
      <c r="AK17" s="7"/>
      <c r="AL17" s="7"/>
      <c r="AM17" s="7"/>
      <c r="AN17" s="1182"/>
    </row>
    <row r="18" spans="2:40" s="7" customFormat="1" ht="15.75" thickBot="1" x14ac:dyDescent="0.3">
      <c r="B18"/>
      <c r="C18" s="33"/>
      <c r="D18" s="33"/>
      <c r="E18" s="33"/>
      <c r="F18" s="33"/>
      <c r="G18" s="33"/>
      <c r="H18" s="33"/>
      <c r="I18" s="33"/>
      <c r="J18" s="33"/>
      <c r="K18" s="33"/>
      <c r="L18"/>
      <c r="M18"/>
      <c r="N18"/>
      <c r="O18"/>
      <c r="P18"/>
      <c r="Q18"/>
      <c r="R18"/>
      <c r="S18"/>
      <c r="T18" s="8"/>
      <c r="AD18" s="1181"/>
      <c r="AN18" s="1182"/>
    </row>
    <row r="19" spans="2:40" s="7" customFormat="1" ht="24.75" customHeight="1" thickBot="1" x14ac:dyDescent="0.35">
      <c r="B19"/>
      <c r="C19" s="432" t="s">
        <v>12</v>
      </c>
      <c r="D19" s="424"/>
      <c r="E19" s="433" t="s">
        <v>749</v>
      </c>
      <c r="F19" s="434"/>
      <c r="G19" s="443" t="s">
        <v>740</v>
      </c>
      <c r="H19" s="440" t="s">
        <v>739</v>
      </c>
      <c r="I19" s="424" t="s">
        <v>115</v>
      </c>
      <c r="J19" s="435" t="s">
        <v>35</v>
      </c>
      <c r="K19" s="193"/>
      <c r="L19" s="1570" t="s">
        <v>98</v>
      </c>
      <c r="M19" s="1571"/>
      <c r="N19" s="183" t="s">
        <v>99</v>
      </c>
      <c r="P19" s="7" t="s">
        <v>100</v>
      </c>
      <c r="Q19" s="20"/>
      <c r="R19" s="184" t="s">
        <v>100</v>
      </c>
      <c r="S19" s="20"/>
      <c r="AB19" s="7" t="s">
        <v>746</v>
      </c>
      <c r="AD19" s="1181"/>
      <c r="AN19" s="1182"/>
    </row>
    <row r="20" spans="2:40" s="7" customFormat="1" ht="16.5" thickTop="1" thickBot="1" x14ac:dyDescent="0.3">
      <c r="B20" s="115" t="s">
        <v>45</v>
      </c>
      <c r="C20" s="202" t="s">
        <v>516</v>
      </c>
      <c r="D20" s="198" t="s">
        <v>515</v>
      </c>
      <c r="E20" s="196" t="s">
        <v>516</v>
      </c>
      <c r="F20" s="197" t="s">
        <v>515</v>
      </c>
      <c r="G20" s="445"/>
      <c r="H20" s="442" t="s">
        <v>747</v>
      </c>
      <c r="I20" s="294">
        <v>0</v>
      </c>
      <c r="J20" s="203"/>
      <c r="K20" s="140"/>
      <c r="L20" s="180" t="str">
        <f>C20</f>
        <v>Short</v>
      </c>
      <c r="M20" s="181" t="str">
        <f>D20</f>
        <v>Long</v>
      </c>
      <c r="R20"/>
      <c r="AB20" s="7" t="s">
        <v>746</v>
      </c>
      <c r="AD20" s="1181"/>
      <c r="AN20" s="1182"/>
    </row>
    <row r="21" spans="2:40" s="7" customFormat="1" ht="18" customHeight="1" thickTop="1" x14ac:dyDescent="0.3">
      <c r="B21" s="1266">
        <v>43831</v>
      </c>
      <c r="C21" s="450">
        <v>0</v>
      </c>
      <c r="D21" s="352">
        <v>0</v>
      </c>
      <c r="E21" s="451">
        <f t="shared" ref="E21:F29" si="0">EXP(C21/$D$15)/(EXP($D21/$D$15)+EXP($C21/$D$15))</f>
        <v>0.5</v>
      </c>
      <c r="F21" s="452">
        <f t="shared" si="0"/>
        <v>0.5</v>
      </c>
      <c r="G21" s="1264"/>
      <c r="H21" s="449"/>
      <c r="I21" s="336">
        <f>$D$15*LN(EXP($D21/$D$15)+EXP($C21/$D$15))</f>
        <v>62.383246250395075</v>
      </c>
      <c r="J21" s="204">
        <f>(I21-I20)</f>
        <v>62.383246250395075</v>
      </c>
      <c r="K21" s="194"/>
      <c r="L21" s="114"/>
      <c r="M21" s="100"/>
      <c r="R21" s="185" t="str">
        <f>"Paid "&amp;ROUND(J21,2)&amp;" to create this Market."</f>
        <v>Paid 62.38 to create this Market.</v>
      </c>
      <c r="X21" s="187"/>
      <c r="AB21" s="7" t="s">
        <v>746</v>
      </c>
      <c r="AD21" s="1183"/>
      <c r="AE21" s="1177" t="s">
        <v>698</v>
      </c>
      <c r="AN21" s="1182"/>
    </row>
    <row r="22" spans="2:40" s="7" customFormat="1" ht="18.75" x14ac:dyDescent="0.3">
      <c r="B22" s="1266">
        <v>43844</v>
      </c>
      <c r="C22" s="453">
        <v>1.9997616500275006</v>
      </c>
      <c r="D22" s="360">
        <v>926.42630143540737</v>
      </c>
      <c r="E22" s="1267">
        <f t="shared" si="0"/>
        <v>3.4607483758239578E-5</v>
      </c>
      <c r="F22" s="1268">
        <f t="shared" si="0"/>
        <v>0.99996539251624172</v>
      </c>
      <c r="G22" s="949">
        <f>(E22-E21)/E21</f>
        <v>-0.99993078503248356</v>
      </c>
      <c r="H22" s="441">
        <f>1/(1-F22)</f>
        <v>28895.48419598335</v>
      </c>
      <c r="I22" s="337">
        <f t="shared" ref="I22:I31" si="1">$D$15*LN(EXP($D22/$D$15)+EXP($C22/$D$15))</f>
        <v>926.42941616284236</v>
      </c>
      <c r="J22" s="206">
        <f t="shared" ref="J22:J29" si="2">(I22-I21)</f>
        <v>864.04616991244734</v>
      </c>
      <c r="K22" s="194"/>
      <c r="L22" s="114">
        <f t="shared" ref="L22:M30" si="3">C22-C21</f>
        <v>1.9997616500275006</v>
      </c>
      <c r="M22" s="100">
        <f t="shared" si="3"/>
        <v>926.42630143540737</v>
      </c>
      <c r="N22" s="182">
        <f t="shared" ref="N22:N30" si="4">J22</f>
        <v>864.04616991244734</v>
      </c>
      <c r="P22" s="7" t="str">
        <f t="shared" ref="P22:P30" si="5">IF(L22&gt;0,"Bought ",IF(L22&lt;0,"Sold ",""))&amp;IF(L22&lt;0,L22*-1,IF(L22&gt;0,L22,""))&amp;IF(L22&lt;&gt;0," Shares of State 1 at a cost of "&amp;ROUND($N22,5),"")</f>
        <v>Bought 1.9997616500275 Shares of State 1 at a cost of 864.04617</v>
      </c>
      <c r="Q22" s="7" t="str">
        <f t="shared" ref="Q22:Q30" si="6">IF(M22&gt;0,"Bought ",IF(M22&lt;0,"Sold ",""))&amp;IF(M22&lt;0,M22*-1,IF(M22&gt;0,M22,""))&amp;IF(M22&lt;&gt;0," Shares of State 2 at a cost of "&amp;ROUND($N22,5),"")</f>
        <v>Bought 926.426301435407 Shares of State 2 at a cost of 864.04617</v>
      </c>
      <c r="R22" s="185" t="str">
        <f t="shared" ref="R22:R30" si="7">P22&amp;Q22</f>
        <v>Bought 1.9997616500275 Shares of State 1 at a cost of 864.04617Bought 926.426301435407 Shares of State 2 at a cost of 864.04617</v>
      </c>
      <c r="AB22" s="7" t="s">
        <v>746</v>
      </c>
      <c r="AD22" s="1184" t="s">
        <v>714</v>
      </c>
      <c r="AE22" s="1175" t="s">
        <v>697</v>
      </c>
      <c r="AN22" s="1182"/>
    </row>
    <row r="23" spans="2:40" s="7" customFormat="1" ht="18.75" x14ac:dyDescent="0.3">
      <c r="B23" s="1266">
        <v>43845</v>
      </c>
      <c r="C23" s="453">
        <v>1.9997599167534867</v>
      </c>
      <c r="D23" s="360">
        <v>926.44586873999992</v>
      </c>
      <c r="E23" s="1267">
        <f t="shared" si="0"/>
        <v>3.4599960001474953E-5</v>
      </c>
      <c r="F23" s="1268">
        <f t="shared" si="0"/>
        <v>0.99996540003999856</v>
      </c>
      <c r="G23" s="949">
        <f t="shared" ref="G23:G29" si="8">(E23-E22)/E22</f>
        <v>-2.1740259468686486E-4</v>
      </c>
      <c r="H23" s="441">
        <f t="shared" ref="H23:H31" si="9">1/(1-F23)</f>
        <v>28901.76751529496</v>
      </c>
      <c r="I23" s="337">
        <f t="shared" si="1"/>
        <v>926.44898279027348</v>
      </c>
      <c r="J23" s="206">
        <f t="shared" si="2"/>
        <v>1.9566627431117922E-2</v>
      </c>
      <c r="K23" s="194"/>
      <c r="L23" s="114">
        <f t="shared" si="3"/>
        <v>-1.7332740138709113E-6</v>
      </c>
      <c r="M23" s="100">
        <f t="shared" si="3"/>
        <v>1.9567304592555956E-2</v>
      </c>
      <c r="N23" s="182">
        <f t="shared" si="4"/>
        <v>1.9566627431117922E-2</v>
      </c>
      <c r="P23" s="7" t="str">
        <f t="shared" si="5"/>
        <v>Sold 1.73327401387091E-06 Shares of State 1 at a cost of 0.01957</v>
      </c>
      <c r="Q23" s="7" t="str">
        <f t="shared" si="6"/>
        <v>Bought 0.019567304592556 Shares of State 2 at a cost of 0.01957</v>
      </c>
      <c r="R23" s="185" t="str">
        <f t="shared" si="7"/>
        <v>Sold 1.73327401387091E-06 Shares of State 1 at a cost of 0.01957Bought 0.019567304592556 Shares of State 2 at a cost of 0.01957</v>
      </c>
      <c r="AB23" s="7" t="s">
        <v>746</v>
      </c>
      <c r="AD23" s="1184"/>
      <c r="AE23" s="1175"/>
      <c r="AN23" s="1182"/>
    </row>
    <row r="24" spans="2:40" s="7" customFormat="1" ht="18.75" x14ac:dyDescent="0.3">
      <c r="B24" s="1266">
        <v>43846</v>
      </c>
      <c r="C24" s="453">
        <v>1.9997582014720772</v>
      </c>
      <c r="D24" s="360">
        <v>927.15968961554802</v>
      </c>
      <c r="E24" s="1267">
        <f t="shared" si="0"/>
        <v>3.4326629981966424E-5</v>
      </c>
      <c r="F24" s="1268">
        <f t="shared" si="0"/>
        <v>0.99996567337001807</v>
      </c>
      <c r="G24" s="949">
        <f t="shared" si="8"/>
        <v>-7.8997206787775869E-3</v>
      </c>
      <c r="H24" s="441">
        <f t="shared" si="9"/>
        <v>29131.90139918905</v>
      </c>
      <c r="I24" s="337">
        <f t="shared" si="1"/>
        <v>927.16277906527193</v>
      </c>
      <c r="J24" s="206">
        <f t="shared" si="2"/>
        <v>0.7137962749984581</v>
      </c>
      <c r="K24" s="194"/>
      <c r="L24" s="114">
        <f t="shared" si="3"/>
        <v>-1.7152814095755531E-6</v>
      </c>
      <c r="M24" s="100">
        <f t="shared" si="3"/>
        <v>0.71382087554809459</v>
      </c>
      <c r="N24" s="182">
        <f t="shared" si="4"/>
        <v>0.7137962749984581</v>
      </c>
      <c r="P24" s="7" t="str">
        <f t="shared" si="5"/>
        <v>Sold 1.71528140957555E-06 Shares of State 1 at a cost of 0.7138</v>
      </c>
      <c r="Q24" s="7" t="str">
        <f t="shared" si="6"/>
        <v>Bought 0.713820875548095 Shares of State 2 at a cost of 0.7138</v>
      </c>
      <c r="R24" s="185" t="str">
        <f t="shared" si="7"/>
        <v>Sold 1.71528140957555E-06 Shares of State 1 at a cost of 0.7138Bought 0.713820875548095 Shares of State 2 at a cost of 0.7138</v>
      </c>
      <c r="AB24" s="7" t="s">
        <v>746</v>
      </c>
      <c r="AD24" s="1184"/>
      <c r="AE24" s="1176"/>
      <c r="AN24" s="1182"/>
    </row>
    <row r="25" spans="2:40" s="7" customFormat="1" ht="18.75" x14ac:dyDescent="0.3">
      <c r="B25" s="1266">
        <v>43847</v>
      </c>
      <c r="C25" s="453">
        <v>1.9997537390776245</v>
      </c>
      <c r="D25" s="360">
        <v>927.71811800459841</v>
      </c>
      <c r="E25" s="1267">
        <f t="shared" si="0"/>
        <v>3.4114306444266175E-5</v>
      </c>
      <c r="F25" s="1268">
        <f t="shared" si="0"/>
        <v>0.99996588569355571</v>
      </c>
      <c r="G25" s="949">
        <f t="shared" si="8"/>
        <v>-6.1853883650039116E-3</v>
      </c>
      <c r="H25" s="441">
        <f t="shared" si="9"/>
        <v>29313.215018253035</v>
      </c>
      <c r="I25" s="337">
        <f t="shared" si="1"/>
        <v>927.72118834455</v>
      </c>
      <c r="J25" s="206">
        <f>(I25-I24)</f>
        <v>0.55840927927806661</v>
      </c>
      <c r="K25" s="194"/>
      <c r="L25" s="114">
        <f t="shared" si="3"/>
        <v>-4.4623944526200887E-6</v>
      </c>
      <c r="M25" s="100">
        <f t="shared" si="3"/>
        <v>0.55842838905039116</v>
      </c>
      <c r="N25" s="182">
        <f t="shared" si="4"/>
        <v>0.55840927927806661</v>
      </c>
      <c r="P25" s="7" t="str">
        <f t="shared" si="5"/>
        <v>Sold 4.46239445262009E-06 Shares of State 1 at a cost of 0.55841</v>
      </c>
      <c r="Q25" s="7" t="str">
        <f t="shared" si="6"/>
        <v>Bought 0.558428389050391 Shares of State 2 at a cost of 0.55841</v>
      </c>
      <c r="R25" s="185" t="str">
        <f t="shared" si="7"/>
        <v>Sold 4.46239445262009E-06 Shares of State 1 at a cost of 0.55841Bought 0.558428389050391 Shares of State 2 at a cost of 0.55841</v>
      </c>
      <c r="AB25" s="7" t="s">
        <v>746</v>
      </c>
      <c r="AD25" s="1185"/>
      <c r="AE25" s="1176"/>
      <c r="AN25" s="1182"/>
    </row>
    <row r="26" spans="2:40" s="7" customFormat="1" ht="19.5" thickBot="1" x14ac:dyDescent="0.35">
      <c r="B26" s="1266">
        <v>43851</v>
      </c>
      <c r="C26" s="453">
        <v>1.9997543899145871</v>
      </c>
      <c r="D26" s="360">
        <v>927.58237052247341</v>
      </c>
      <c r="E26" s="1267">
        <f t="shared" si="0"/>
        <v>3.4165798547452049E-5</v>
      </c>
      <c r="F26" s="1268">
        <f t="shared" si="0"/>
        <v>0.99996583420145257</v>
      </c>
      <c r="G26" s="949">
        <f t="shared" si="8"/>
        <v>1.5093990924305992E-3</v>
      </c>
      <c r="H26" s="441">
        <f t="shared" si="9"/>
        <v>29269.036361374878</v>
      </c>
      <c r="I26" s="337">
        <f t="shared" si="1"/>
        <v>927.58544549687247</v>
      </c>
      <c r="J26" s="206">
        <f t="shared" si="2"/>
        <v>-0.13574284767753397</v>
      </c>
      <c r="K26" s="194"/>
      <c r="L26" s="114">
        <f t="shared" si="3"/>
        <v>6.5083696254575329E-7</v>
      </c>
      <c r="M26" s="100">
        <f t="shared" si="3"/>
        <v>-0.13574748212499799</v>
      </c>
      <c r="N26" s="182">
        <f t="shared" si="4"/>
        <v>-0.13574284767753397</v>
      </c>
      <c r="P26" s="7" t="str">
        <f t="shared" si="5"/>
        <v>Bought 6.50836962545753E-07 Shares of State 1 at a cost of -0.13574</v>
      </c>
      <c r="Q26" s="7" t="str">
        <f t="shared" si="6"/>
        <v>Sold 0.135747482124998 Shares of State 2 at a cost of -0.13574</v>
      </c>
      <c r="R26" s="185" t="str">
        <f t="shared" si="7"/>
        <v>Bought 6.50836962545753E-07 Shares of State 1 at a cost of -0.13574Sold 0.135747482124998 Shares of State 2 at a cost of -0.13574</v>
      </c>
      <c r="AB26" s="7" t="s">
        <v>746</v>
      </c>
      <c r="AD26" s="1186"/>
      <c r="AE26" s="1187"/>
      <c r="AF26" s="1188"/>
      <c r="AG26" s="1188"/>
      <c r="AH26" s="1188"/>
      <c r="AI26" s="1188"/>
      <c r="AJ26" s="1188"/>
      <c r="AK26" s="1188"/>
      <c r="AL26" s="1188"/>
      <c r="AM26" s="1188"/>
      <c r="AN26" s="1189"/>
    </row>
    <row r="27" spans="2:40" s="7" customFormat="1" ht="18.75" x14ac:dyDescent="0.3">
      <c r="B27" s="1266">
        <v>43852</v>
      </c>
      <c r="C27" s="453">
        <v>1.9997554492164415</v>
      </c>
      <c r="D27" s="360">
        <v>927.56572039451225</v>
      </c>
      <c r="E27" s="1267">
        <f t="shared" si="0"/>
        <v>3.4172120039647599E-5</v>
      </c>
      <c r="F27" s="1268">
        <f t="shared" si="0"/>
        <v>0.99996582787996036</v>
      </c>
      <c r="G27" s="949">
        <f t="shared" si="8"/>
        <v>1.8502398492953472E-4</v>
      </c>
      <c r="H27" s="441">
        <f t="shared" si="9"/>
        <v>29263.621889419701</v>
      </c>
      <c r="I27" s="337">
        <f t="shared" si="1"/>
        <v>927.56879593786505</v>
      </c>
      <c r="J27" s="206">
        <f t="shared" si="2"/>
        <v>-1.6649559007419157E-2</v>
      </c>
      <c r="K27" s="194"/>
      <c r="L27" s="114">
        <f t="shared" si="3"/>
        <v>1.0593018544557964E-6</v>
      </c>
      <c r="M27" s="100">
        <f t="shared" si="3"/>
        <v>-1.6650127961156613E-2</v>
      </c>
      <c r="N27" s="182">
        <f t="shared" si="4"/>
        <v>-1.6649559007419157E-2</v>
      </c>
      <c r="P27" s="7" t="str">
        <f t="shared" si="5"/>
        <v>Bought 1.0593018544558E-06 Shares of State 1 at a cost of -0.01665</v>
      </c>
      <c r="Q27" s="7" t="str">
        <f t="shared" si="6"/>
        <v>Sold 0.0166501279611566 Shares of State 2 at a cost of -0.01665</v>
      </c>
      <c r="R27" s="185" t="str">
        <f t="shared" si="7"/>
        <v>Bought 1.0593018544558E-06 Shares of State 1 at a cost of -0.01665Sold 0.0166501279611566 Shares of State 2 at a cost of -0.01665</v>
      </c>
      <c r="AB27" s="7" t="s">
        <v>746</v>
      </c>
    </row>
    <row r="28" spans="2:40" s="7" customFormat="1" ht="19.5" thickBot="1" x14ac:dyDescent="0.35">
      <c r="B28" s="1266">
        <v>43853</v>
      </c>
      <c r="C28" s="453">
        <v>1.9997579391593852</v>
      </c>
      <c r="D28" s="360">
        <v>927.09493624355866</v>
      </c>
      <c r="E28" s="1267">
        <f t="shared" si="0"/>
        <v>3.4351335309287365E-5</v>
      </c>
      <c r="F28" s="1268">
        <f t="shared" si="0"/>
        <v>0.99996564866469073</v>
      </c>
      <c r="G28" s="949">
        <f t="shared" si="8"/>
        <v>5.2444878875479578E-3</v>
      </c>
      <c r="H28" s="441">
        <f t="shared" si="9"/>
        <v>29110.949865468225</v>
      </c>
      <c r="I28" s="337">
        <f t="shared" si="1"/>
        <v>927.0980279168383</v>
      </c>
      <c r="J28" s="206">
        <f t="shared" si="2"/>
        <v>-0.47076802102674264</v>
      </c>
      <c r="K28" s="194"/>
      <c r="L28" s="114">
        <f t="shared" si="3"/>
        <v>2.4899429436064935E-6</v>
      </c>
      <c r="M28" s="100">
        <f t="shared" si="3"/>
        <v>-0.47078415095359105</v>
      </c>
      <c r="N28" s="182">
        <f t="shared" si="4"/>
        <v>-0.47076802102674264</v>
      </c>
      <c r="P28" s="7" t="str">
        <f t="shared" si="5"/>
        <v>Bought 2.48994294360649E-06 Shares of State 1 at a cost of -0.47077</v>
      </c>
      <c r="Q28" s="7" t="str">
        <f t="shared" si="6"/>
        <v>Sold 0.470784150953591 Shares of State 2 at a cost of -0.47077</v>
      </c>
      <c r="R28" s="185" t="str">
        <f t="shared" si="7"/>
        <v>Bought 2.48994294360649E-06 Shares of State 1 at a cost of -0.47077Sold 0.470784150953591 Shares of State 2 at a cost of -0.47077</v>
      </c>
      <c r="AB28" s="7" t="s">
        <v>746</v>
      </c>
    </row>
    <row r="29" spans="2:40" s="7" customFormat="1" ht="18.75" x14ac:dyDescent="0.3">
      <c r="B29" s="1266">
        <v>43854</v>
      </c>
      <c r="C29" s="453">
        <v>1.9997562585903144</v>
      </c>
      <c r="D29" s="360">
        <v>927.46348407418191</v>
      </c>
      <c r="E29" s="1267">
        <f t="shared" si="0"/>
        <v>3.4210959206023976E-5</v>
      </c>
      <c r="F29" s="1268">
        <f t="shared" si="0"/>
        <v>0.99996578904079392</v>
      </c>
      <c r="G29" s="949">
        <f t="shared" si="8"/>
        <v>-4.0864817044080704E-3</v>
      </c>
      <c r="H29" s="441">
        <f t="shared" si="9"/>
        <v>29230.399357589733</v>
      </c>
      <c r="I29" s="337">
        <f t="shared" si="1"/>
        <v>927.46656311317918</v>
      </c>
      <c r="J29" s="206">
        <f t="shared" si="2"/>
        <v>0.36853519634087206</v>
      </c>
      <c r="K29" s="194"/>
      <c r="L29" s="114">
        <f t="shared" si="3"/>
        <v>-1.680569070794391E-6</v>
      </c>
      <c r="M29" s="100">
        <f t="shared" si="3"/>
        <v>0.36854783062324259</v>
      </c>
      <c r="N29" s="182">
        <f t="shared" si="4"/>
        <v>0.36853519634087206</v>
      </c>
      <c r="P29" s="7" t="str">
        <f t="shared" si="5"/>
        <v>Sold 1.68056907079439E-06 Shares of State 1 at a cost of 0.36854</v>
      </c>
      <c r="Q29" s="7" t="str">
        <f t="shared" si="6"/>
        <v>Bought 0.368547830623243 Shares of State 2 at a cost of 0.36854</v>
      </c>
      <c r="R29" s="185" t="str">
        <f t="shared" si="7"/>
        <v>Sold 1.68056907079439E-06 Shares of State 1 at a cost of 0.36854Bought 0.368547830623243 Shares of State 2 at a cost of 0.36854</v>
      </c>
      <c r="AB29" s="7" t="s">
        <v>746</v>
      </c>
      <c r="AD29" s="1178" t="s">
        <v>745</v>
      </c>
      <c r="AE29" s="1179"/>
      <c r="AF29" s="1179"/>
      <c r="AG29" s="1179"/>
      <c r="AH29" s="1179"/>
      <c r="AI29" s="1179"/>
      <c r="AJ29" s="1179"/>
      <c r="AK29" s="1179"/>
      <c r="AL29" s="1179"/>
      <c r="AM29" s="1179"/>
      <c r="AN29" s="1180"/>
    </row>
    <row r="30" spans="2:40" s="7" customFormat="1" ht="19.5" thickBot="1" x14ac:dyDescent="0.35">
      <c r="B30" s="1263" t="s">
        <v>743</v>
      </c>
      <c r="C30" s="247"/>
      <c r="D30" s="173"/>
      <c r="E30" s="456"/>
      <c r="F30" s="457"/>
      <c r="G30" s="950"/>
      <c r="H30" s="442"/>
      <c r="I30" s="338">
        <f t="shared" si="1"/>
        <v>62.383246250395075</v>
      </c>
      <c r="J30" s="431">
        <f>(I30-I29)</f>
        <v>-865.08331686278416</v>
      </c>
      <c r="K30" s="194"/>
      <c r="L30" s="119">
        <f t="shared" si="3"/>
        <v>-1.9997562585903144</v>
      </c>
      <c r="M30" s="102">
        <f t="shared" si="3"/>
        <v>-927.46348407418191</v>
      </c>
      <c r="N30" s="182">
        <f t="shared" si="4"/>
        <v>-865.08331686278416</v>
      </c>
      <c r="P30" s="7" t="str">
        <f t="shared" si="5"/>
        <v>Sold 1.99975625859031 Shares of State 1 at a cost of -865.08332</v>
      </c>
      <c r="Q30" s="7" t="str">
        <f t="shared" si="6"/>
        <v>Sold 927.463484074182 Shares of State 2 at a cost of -865.08332</v>
      </c>
      <c r="R30" s="185" t="str">
        <f t="shared" si="7"/>
        <v>Sold 1.99975625859031 Shares of State 1 at a cost of -865.08332Sold 927.463484074182 Shares of State 2 at a cost of -865.08332</v>
      </c>
      <c r="AB30" s="7" t="s">
        <v>746</v>
      </c>
      <c r="AD30" s="1590" t="s">
        <v>726</v>
      </c>
      <c r="AE30" s="1591"/>
      <c r="AN30" s="1182"/>
    </row>
    <row r="31" spans="2:40" s="7" customFormat="1" ht="16.5" thickTop="1" thickBot="1" x14ac:dyDescent="0.3">
      <c r="B31" s="25" t="s">
        <v>744</v>
      </c>
      <c r="C31" s="376">
        <f>C29</f>
        <v>1.9997562585903144</v>
      </c>
      <c r="D31" s="373">
        <f>D29</f>
        <v>927.46348407418191</v>
      </c>
      <c r="E31" s="1271">
        <f>E35</f>
        <v>3.4140354411071883E-5</v>
      </c>
      <c r="F31" s="1272">
        <f>F35</f>
        <v>0.99996585964558893</v>
      </c>
      <c r="G31" s="951"/>
      <c r="H31" s="447">
        <f t="shared" si="9"/>
        <v>29290.849999954749</v>
      </c>
      <c r="I31" s="439">
        <f t="shared" si="1"/>
        <v>927.46656311317918</v>
      </c>
      <c r="J31" s="194"/>
      <c r="K31" s="8"/>
      <c r="Q31" s="8"/>
      <c r="R31" s="8"/>
      <c r="S31" s="8"/>
      <c r="AB31" s="7" t="s">
        <v>746</v>
      </c>
      <c r="AD31" s="1590"/>
      <c r="AE31" s="1591"/>
      <c r="AN31" s="1182"/>
    </row>
    <row r="32" spans="2:40" s="7" customFormat="1" ht="19.5" thickBot="1" x14ac:dyDescent="0.35">
      <c r="B32"/>
      <c r="C32" s="33"/>
      <c r="D32" s="33"/>
      <c r="E32" s="84"/>
      <c r="F32" s="84"/>
      <c r="G32" s="33"/>
      <c r="H32" s="33"/>
      <c r="I32" s="263">
        <f>SUMPRODUCT(C31:D31,E31:F31)</f>
        <v>927.43188841451968</v>
      </c>
      <c r="J32" t="s">
        <v>109</v>
      </c>
      <c r="Q32"/>
      <c r="R32" s="185" t="str">
        <f>C31&amp;" Shares of State 1 were redeemed for "&amp;ROUND(E31,3)&amp;" each, and "&amp;D31&amp;" Shares of State 2 were redeemed for "&amp;ROUND(F31,3)&amp;" each."</f>
        <v>1.99975625859031 Shares of State 1 were redeemed for 0 each, and 927.463484074182 Shares of State 2 were redeemed for 1 each.</v>
      </c>
      <c r="S32"/>
      <c r="AB32" s="7" t="s">
        <v>746</v>
      </c>
      <c r="AD32" s="1181"/>
      <c r="AN32" s="1182"/>
    </row>
    <row r="33" spans="3:48" s="7" customFormat="1" ht="19.5" thickBot="1" x14ac:dyDescent="0.35">
      <c r="C33" s="140"/>
      <c r="E33" s="1171"/>
      <c r="F33" s="1171"/>
      <c r="G33" s="17"/>
      <c r="H33" s="207"/>
      <c r="I33" s="263">
        <f>I31-I32</f>
        <v>3.4674698659500791E-2</v>
      </c>
      <c r="J33" s="7" t="s">
        <v>789</v>
      </c>
      <c r="R33" s="185" t="str">
        <f>ROUND(I33,2)&amp;" from the liquidity pool was left over, it was returned to the author."</f>
        <v>0.03 from the liquidity pool was left over, it was returned to the author.</v>
      </c>
      <c r="AB33" s="7" t="s">
        <v>746</v>
      </c>
      <c r="AD33" s="1181"/>
      <c r="AN33" s="1182"/>
    </row>
    <row r="34" spans="3:48" s="7" customFormat="1" ht="19.5" thickBot="1" x14ac:dyDescent="0.35">
      <c r="C34" s="1"/>
      <c r="D34" s="150"/>
      <c r="E34" s="1173" t="s">
        <v>167</v>
      </c>
      <c r="F34" s="428" t="s">
        <v>150</v>
      </c>
      <c r="G34" s="17"/>
      <c r="H34" s="207"/>
      <c r="I34" s="974"/>
      <c r="J34" s="54"/>
      <c r="O34" s="8"/>
      <c r="P34" s="8"/>
      <c r="Q34" s="8"/>
      <c r="R34" s="184"/>
      <c r="S34" s="28"/>
      <c r="AB34" s="7" t="s">
        <v>746</v>
      </c>
      <c r="AD34" s="1183"/>
      <c r="AE34" s="1231"/>
      <c r="AN34" s="1182"/>
    </row>
    <row r="35" spans="3:48" ht="15.75" thickBot="1" x14ac:dyDescent="0.3">
      <c r="C35" s="288" t="s">
        <v>168</v>
      </c>
      <c r="D35" s="425">
        <v>29290.85</v>
      </c>
      <c r="E35" s="1269">
        <f>1-F35</f>
        <v>3.4140354411071883E-5</v>
      </c>
      <c r="F35" s="1270">
        <f>1-(1/D35)</f>
        <v>0.99996585964558893</v>
      </c>
      <c r="H35" s="207"/>
      <c r="I35" s="17"/>
      <c r="J35" s="207"/>
      <c r="K35" s="17"/>
      <c r="L35" s="7"/>
      <c r="M35" s="7"/>
      <c r="N35" s="7"/>
      <c r="O35" s="7"/>
      <c r="P35" s="7"/>
      <c r="Q35" s="7"/>
      <c r="R35" s="28"/>
      <c r="AB35" t="s">
        <v>746</v>
      </c>
      <c r="AD35" s="1184" t="s">
        <v>714</v>
      </c>
      <c r="AE35" s="1232"/>
      <c r="AF35" s="7"/>
      <c r="AG35" s="7"/>
      <c r="AH35" s="7"/>
      <c r="AI35" s="7"/>
      <c r="AJ35" s="7"/>
      <c r="AK35" s="7"/>
      <c r="AL35" s="7"/>
      <c r="AM35" s="7"/>
      <c r="AN35" s="1182"/>
    </row>
    <row r="36" spans="3:48" x14ac:dyDescent="0.25">
      <c r="C36" s="33" t="s">
        <v>753</v>
      </c>
      <c r="H36" s="207"/>
      <c r="I36" s="17"/>
      <c r="J36" s="17"/>
      <c r="K36" s="17"/>
      <c r="L36" s="7"/>
      <c r="M36" s="7"/>
      <c r="N36" s="7"/>
      <c r="O36" s="7"/>
      <c r="P36" s="7"/>
      <c r="Q36" s="7"/>
      <c r="R36" s="7"/>
      <c r="AB36" t="s">
        <v>746</v>
      </c>
      <c r="AD36" s="1184"/>
      <c r="AE36" s="1232"/>
      <c r="AF36" s="7"/>
      <c r="AG36" s="7"/>
      <c r="AH36" s="7"/>
      <c r="AI36" s="7"/>
      <c r="AJ36" s="7"/>
      <c r="AK36" s="7"/>
      <c r="AL36" s="7"/>
      <c r="AM36" s="7"/>
      <c r="AN36" s="1182"/>
    </row>
    <row r="37" spans="3:48" x14ac:dyDescent="0.25">
      <c r="H37" s="207"/>
      <c r="AB37" t="s">
        <v>746</v>
      </c>
      <c r="AD37" s="1184"/>
      <c r="AE37" s="1233"/>
      <c r="AF37" s="7"/>
      <c r="AG37" s="7"/>
      <c r="AH37" s="7"/>
      <c r="AI37" s="7"/>
      <c r="AJ37" s="7"/>
      <c r="AK37" s="7"/>
      <c r="AL37" s="7"/>
      <c r="AM37" s="7"/>
      <c r="AN37" s="1182"/>
    </row>
    <row r="38" spans="3:48" x14ac:dyDescent="0.25">
      <c r="H38" s="207"/>
      <c r="W38" s="1275" t="s">
        <v>752</v>
      </c>
      <c r="X38" s="1276"/>
      <c r="Y38" s="1276"/>
      <c r="Z38" s="1277"/>
      <c r="AB38" t="s">
        <v>746</v>
      </c>
      <c r="AD38" s="1185"/>
      <c r="AE38" s="1233"/>
      <c r="AF38" s="7"/>
      <c r="AG38" s="7"/>
      <c r="AH38" s="7"/>
      <c r="AI38" s="7"/>
      <c r="AJ38" s="7"/>
      <c r="AK38" s="7"/>
      <c r="AL38" s="7"/>
      <c r="AM38" s="7"/>
      <c r="AN38" s="1182"/>
    </row>
    <row r="39" spans="3:48" ht="15.75" thickBot="1" x14ac:dyDescent="0.3">
      <c r="W39" s="1278"/>
      <c r="X39" s="1279"/>
      <c r="Y39" s="1279"/>
      <c r="Z39" s="1280"/>
      <c r="AB39" t="s">
        <v>746</v>
      </c>
      <c r="AD39" s="1186"/>
      <c r="AE39" s="1187"/>
      <c r="AF39" s="1188"/>
      <c r="AG39" s="1188"/>
      <c r="AH39" s="1188"/>
      <c r="AI39" s="1188"/>
      <c r="AJ39" s="1188"/>
      <c r="AK39" s="1188"/>
      <c r="AL39" s="1188"/>
      <c r="AM39" s="1188"/>
      <c r="AN39" s="1189"/>
    </row>
    <row r="40" spans="3:48" x14ac:dyDescent="0.25">
      <c r="W40" s="1281">
        <f t="shared" ref="W40:W48" si="10">B21</f>
        <v>43831</v>
      </c>
      <c r="X40" s="1282"/>
      <c r="Y40" s="1283"/>
      <c r="Z40" s="1280"/>
      <c r="AR40">
        <f>D6*100</f>
        <v>100</v>
      </c>
    </row>
    <row r="41" spans="3:48" x14ac:dyDescent="0.25">
      <c r="W41" s="1281">
        <f t="shared" si="10"/>
        <v>43844</v>
      </c>
      <c r="X41" s="1282">
        <f t="shared" ref="X41:X48" si="11">H22</f>
        <v>28895.48419598335</v>
      </c>
      <c r="Y41" s="1283">
        <f t="shared" ref="Y41:Y48" si="12">AG45</f>
        <v>28895.5</v>
      </c>
      <c r="Z41" s="1284">
        <f>(X41-Y41)^2</f>
        <v>2.4976694226656328E-4</v>
      </c>
      <c r="AI41" t="s">
        <v>730</v>
      </c>
      <c r="AJ41" t="s">
        <v>731</v>
      </c>
      <c r="AK41" t="s">
        <v>699</v>
      </c>
    </row>
    <row r="42" spans="3:48" x14ac:dyDescent="0.25">
      <c r="W42" s="1281">
        <f t="shared" si="10"/>
        <v>43845</v>
      </c>
      <c r="X42" s="1282">
        <f t="shared" si="11"/>
        <v>28901.76751529496</v>
      </c>
      <c r="Y42" s="1283">
        <f t="shared" si="12"/>
        <v>28901.8</v>
      </c>
      <c r="Z42" s="1284">
        <f t="shared" ref="Z42:Z48" si="13">(X42-Y42)^2</f>
        <v>1.0552560615149057E-3</v>
      </c>
      <c r="AI42">
        <v>8000</v>
      </c>
      <c r="AJ42">
        <v>50000</v>
      </c>
      <c r="AK42">
        <f>AJ42-AI42</f>
        <v>42000</v>
      </c>
      <c r="AR42" t="e">
        <f>D7*100</f>
        <v>#VALUE!</v>
      </c>
    </row>
    <row r="43" spans="3:48" x14ac:dyDescent="0.25">
      <c r="W43" s="1281">
        <f t="shared" si="10"/>
        <v>43846</v>
      </c>
      <c r="X43" s="1282">
        <f t="shared" si="11"/>
        <v>29131.90139918905</v>
      </c>
      <c r="Y43" s="1283">
        <f t="shared" si="12"/>
        <v>29131.95</v>
      </c>
      <c r="Z43" s="1284">
        <f t="shared" si="13"/>
        <v>2.362038825097701E-3</v>
      </c>
      <c r="AE43" s="1228" t="s">
        <v>728</v>
      </c>
      <c r="AG43" s="6" t="s">
        <v>727</v>
      </c>
      <c r="AH43" s="1589" t="s">
        <v>694</v>
      </c>
      <c r="AI43" s="1588"/>
      <c r="AJ43" s="1587" t="s">
        <v>695</v>
      </c>
      <c r="AK43" s="1588"/>
      <c r="AL43" s="1587" t="s">
        <v>717</v>
      </c>
      <c r="AM43" s="1588"/>
      <c r="AO43" s="7"/>
    </row>
    <row r="44" spans="3:48" x14ac:dyDescent="0.25">
      <c r="W44" s="1281">
        <f t="shared" si="10"/>
        <v>43847</v>
      </c>
      <c r="X44" s="1282">
        <f t="shared" si="11"/>
        <v>29313.215018253035</v>
      </c>
      <c r="Y44" s="1283">
        <f t="shared" si="12"/>
        <v>29313.31</v>
      </c>
      <c r="Z44" s="1284">
        <f t="shared" si="13"/>
        <v>9.0215322567832549E-3</v>
      </c>
      <c r="AE44" s="1234" t="s">
        <v>729</v>
      </c>
      <c r="AG44" s="1078" t="s">
        <v>567</v>
      </c>
      <c r="AH44" s="1172" t="s">
        <v>719</v>
      </c>
      <c r="AI44" s="1078" t="s">
        <v>718</v>
      </c>
      <c r="AJ44" s="1029" t="s">
        <v>719</v>
      </c>
      <c r="AK44" s="1078" t="s">
        <v>718</v>
      </c>
      <c r="AL44" s="1029" t="s">
        <v>720</v>
      </c>
      <c r="AM44" s="1078" t="s">
        <v>721</v>
      </c>
      <c r="AN44" s="1171"/>
      <c r="AO44" s="7"/>
    </row>
    <row r="45" spans="3:48" x14ac:dyDescent="0.25">
      <c r="W45" s="1281">
        <f t="shared" si="10"/>
        <v>43851</v>
      </c>
      <c r="X45" s="1282">
        <f t="shared" si="11"/>
        <v>29269.036361374878</v>
      </c>
      <c r="Y45" s="1283">
        <f t="shared" si="12"/>
        <v>29269.05</v>
      </c>
      <c r="Z45" s="1284">
        <f t="shared" si="13"/>
        <v>1.8601209520562682E-4</v>
      </c>
      <c r="AE45" s="1228">
        <f>1/AG45</f>
        <v>3.4607464830163864E-5</v>
      </c>
      <c r="AF45" s="1266">
        <v>43844</v>
      </c>
      <c r="AG45" s="1210">
        <v>28895.5</v>
      </c>
      <c r="AH45" s="1201">
        <f>1-AI45</f>
        <v>0.50248809523809523</v>
      </c>
      <c r="AI45" s="1201">
        <f>(AG45-$AI$42)/$AK$42</f>
        <v>0.49751190476190477</v>
      </c>
      <c r="AJ45" s="1202">
        <f>1-AK45</f>
        <v>0.13911871266822728</v>
      </c>
      <c r="AK45" s="1201">
        <f>($AJ$42/$AK$42)*(1-($AI$42/AG45))</f>
        <v>0.86088128733177272</v>
      </c>
      <c r="AL45" s="1230">
        <f t="shared" ref="AL45:AL60" si="14">1/AG45</f>
        <v>3.4607464830163864E-5</v>
      </c>
      <c r="AM45" s="1205">
        <f t="shared" ref="AM45:AM60" si="15">1-AL45</f>
        <v>0.99996539253516981</v>
      </c>
      <c r="AS45" s="798"/>
      <c r="AT45" s="798" t="s">
        <v>722</v>
      </c>
      <c r="AU45" s="7"/>
    </row>
    <row r="46" spans="3:48" x14ac:dyDescent="0.25">
      <c r="W46" s="1281">
        <f t="shared" si="10"/>
        <v>43852</v>
      </c>
      <c r="X46" s="1282">
        <f t="shared" si="11"/>
        <v>29263.621889419701</v>
      </c>
      <c r="Y46" s="1283">
        <f t="shared" si="12"/>
        <v>29263.63</v>
      </c>
      <c r="Z46" s="1284">
        <f t="shared" si="13"/>
        <v>6.5781512804799383E-5</v>
      </c>
      <c r="AE46" s="1228">
        <f t="shared" ref="AE46:AE60" si="16">1/AG46</f>
        <v>3.4599921112179862E-5</v>
      </c>
      <c r="AF46" s="1266">
        <v>43845</v>
      </c>
      <c r="AG46" s="1210">
        <v>28901.8</v>
      </c>
      <c r="AH46" s="1201">
        <f t="shared" ref="AH46:AH60" si="17">1-AI46</f>
        <v>0.50233809523809525</v>
      </c>
      <c r="AI46" s="1201">
        <f t="shared" ref="AI46:AI60" si="18">(AG46-$AI$42)/$AK$42</f>
        <v>0.49766190476190475</v>
      </c>
      <c r="AJ46" s="1202">
        <f t="shared" ref="AJ46:AJ60" si="19">1-AK46</f>
        <v>0.13904686773504638</v>
      </c>
      <c r="AK46" s="1201">
        <f t="shared" ref="AK46:AK60" si="20">($AJ$42/$AK$42)*(1-($AI$42/AG46))</f>
        <v>0.86095313226495362</v>
      </c>
      <c r="AL46" s="1230">
        <f t="shared" si="14"/>
        <v>3.4599921112179862E-5</v>
      </c>
      <c r="AM46" s="1205">
        <f t="shared" si="15"/>
        <v>0.99996540007888779</v>
      </c>
      <c r="AS46" s="798" t="s">
        <v>567</v>
      </c>
      <c r="AT46" s="798" t="s">
        <v>694</v>
      </c>
      <c r="AU46" s="7" t="s">
        <v>695</v>
      </c>
    </row>
    <row r="47" spans="3:48" x14ac:dyDescent="0.25">
      <c r="W47" s="1281">
        <f t="shared" si="10"/>
        <v>43853</v>
      </c>
      <c r="X47" s="1282">
        <f t="shared" si="11"/>
        <v>29110.949865468225</v>
      </c>
      <c r="Y47" s="1283">
        <f t="shared" si="12"/>
        <v>29111.02</v>
      </c>
      <c r="Z47" s="1284">
        <f t="shared" si="13"/>
        <v>4.918852547395716E-3</v>
      </c>
      <c r="AE47" s="1228">
        <f t="shared" si="16"/>
        <v>3.4326572714837146E-5</v>
      </c>
      <c r="AF47" s="1266">
        <v>43846</v>
      </c>
      <c r="AG47" s="1210">
        <v>29131.95</v>
      </c>
      <c r="AH47" s="1201">
        <f t="shared" si="17"/>
        <v>0.49685833333333329</v>
      </c>
      <c r="AI47" s="1201">
        <f t="shared" si="18"/>
        <v>0.50314166666666671</v>
      </c>
      <c r="AJ47" s="1202">
        <f t="shared" si="19"/>
        <v>0.13644354966511574</v>
      </c>
      <c r="AK47" s="1201">
        <f t="shared" si="20"/>
        <v>0.86355645033488426</v>
      </c>
      <c r="AL47" s="1230">
        <f t="shared" si="14"/>
        <v>3.4326572714837146E-5</v>
      </c>
      <c r="AM47" s="1205">
        <f t="shared" si="15"/>
        <v>0.99996567342728515</v>
      </c>
      <c r="AS47" s="1209">
        <f>(AG60-AG45)/AG45</f>
        <v>5.3029018359259938E-3</v>
      </c>
      <c r="AT47" s="1203">
        <f>(AI60-AI45)/AI45</f>
        <v>7.3331578569549097E-3</v>
      </c>
      <c r="AU47" s="1204">
        <f>(AK60-AK45)/AK45</f>
        <v>2.0195465638475226E-3</v>
      </c>
      <c r="AV47" s="1207">
        <f>(AM60-AM45)/AM45</f>
        <v>1.8255825166996002E-7</v>
      </c>
    </row>
    <row r="48" spans="3:48" x14ac:dyDescent="0.25">
      <c r="W48" s="1281">
        <f t="shared" si="10"/>
        <v>43854</v>
      </c>
      <c r="X48" s="1282">
        <f t="shared" si="11"/>
        <v>29230.399357589733</v>
      </c>
      <c r="Y48" s="1283">
        <f t="shared" si="12"/>
        <v>29230.39</v>
      </c>
      <c r="Z48" s="1284">
        <f t="shared" si="13"/>
        <v>8.7564485621516162E-5</v>
      </c>
      <c r="AE48" s="1228">
        <f t="shared" si="16"/>
        <v>3.4114195906228264E-5</v>
      </c>
      <c r="AF48" s="1266">
        <v>43847</v>
      </c>
      <c r="AG48" s="1210">
        <v>29313.31</v>
      </c>
      <c r="AH48" s="1201">
        <f t="shared" si="17"/>
        <v>0.49254023809523806</v>
      </c>
      <c r="AI48" s="1201">
        <f t="shared" si="18"/>
        <v>0.50745976190476194</v>
      </c>
      <c r="AJ48" s="1202">
        <f t="shared" si="19"/>
        <v>0.13442091339265005</v>
      </c>
      <c r="AK48" s="1201">
        <f t="shared" si="20"/>
        <v>0.86557908660734995</v>
      </c>
      <c r="AL48" s="1230">
        <f t="shared" si="14"/>
        <v>3.4114195906228264E-5</v>
      </c>
      <c r="AM48" s="1205">
        <f t="shared" si="15"/>
        <v>0.99996588580409373</v>
      </c>
    </row>
    <row r="49" spans="2:48" x14ac:dyDescent="0.25">
      <c r="W49" s="1281"/>
      <c r="X49" s="1282"/>
      <c r="Y49" s="1283"/>
      <c r="Z49" s="1280"/>
      <c r="AE49" s="1228">
        <f t="shared" si="16"/>
        <v>3.4165782627041193E-5</v>
      </c>
      <c r="AF49" s="1266">
        <v>43851</v>
      </c>
      <c r="AG49" s="1210">
        <v>29269.05</v>
      </c>
      <c r="AH49" s="1201">
        <f t="shared" si="17"/>
        <v>0.49359404761904768</v>
      </c>
      <c r="AI49" s="1201">
        <f t="shared" si="18"/>
        <v>0.50640595238095232</v>
      </c>
      <c r="AJ49" s="1202">
        <f t="shared" si="19"/>
        <v>0.13491221549563048</v>
      </c>
      <c r="AK49" s="1201">
        <f t="shared" si="20"/>
        <v>0.86508778450436952</v>
      </c>
      <c r="AL49" s="1230">
        <f t="shared" si="14"/>
        <v>3.4165782627041193E-5</v>
      </c>
      <c r="AM49" s="1205">
        <f t="shared" si="15"/>
        <v>0.99996583421737295</v>
      </c>
    </row>
    <row r="50" spans="2:48" s="33" customFormat="1" x14ac:dyDescent="0.25">
      <c r="T50"/>
      <c r="U50"/>
      <c r="V50"/>
      <c r="W50" s="1285"/>
      <c r="X50" s="1282"/>
      <c r="Y50" s="1279"/>
      <c r="Z50" s="1280"/>
      <c r="AA50"/>
      <c r="AB50"/>
      <c r="AC50"/>
      <c r="AD50"/>
      <c r="AE50" s="1228">
        <f t="shared" si="16"/>
        <v>3.4172110568647843E-5</v>
      </c>
      <c r="AF50" s="1266">
        <v>43852</v>
      </c>
      <c r="AG50" s="1210">
        <v>29263.63</v>
      </c>
      <c r="AH50" s="1201">
        <f t="shared" si="17"/>
        <v>0.49372309523809521</v>
      </c>
      <c r="AI50" s="1201">
        <f t="shared" si="18"/>
        <v>0.50627690476190479</v>
      </c>
      <c r="AJ50" s="1202">
        <f t="shared" si="19"/>
        <v>0.13497248160616981</v>
      </c>
      <c r="AK50" s="1201">
        <f t="shared" si="20"/>
        <v>0.86502751839383019</v>
      </c>
      <c r="AL50" s="1230">
        <f t="shared" si="14"/>
        <v>3.4172110568647843E-5</v>
      </c>
      <c r="AM50" s="1205">
        <f t="shared" si="15"/>
        <v>0.99996582788943134</v>
      </c>
      <c r="AN50"/>
      <c r="AO50"/>
      <c r="AP50"/>
      <c r="AQ50"/>
      <c r="AR50"/>
      <c r="AS50"/>
      <c r="AT50" t="s">
        <v>724</v>
      </c>
      <c r="AU50"/>
      <c r="AV50"/>
    </row>
    <row r="51" spans="2:48" s="33" customFormat="1" x14ac:dyDescent="0.25">
      <c r="T51"/>
      <c r="U51"/>
      <c r="V51"/>
      <c r="W51" s="1286"/>
      <c r="X51" s="1287"/>
      <c r="Y51" s="1287" t="s">
        <v>598</v>
      </c>
      <c r="Z51" s="1288">
        <f>SUM(Z41:Z48)</f>
        <v>1.7946804726690083E-2</v>
      </c>
      <c r="AA51"/>
      <c r="AB51"/>
      <c r="AC51"/>
      <c r="AD51"/>
      <c r="AE51" s="1228">
        <f t="shared" si="16"/>
        <v>3.4351252549721719E-5</v>
      </c>
      <c r="AF51" s="1266">
        <v>43853</v>
      </c>
      <c r="AG51" s="1210">
        <v>29111.02</v>
      </c>
      <c r="AH51" s="1201">
        <f t="shared" si="17"/>
        <v>0.49735666666666667</v>
      </c>
      <c r="AI51" s="1201">
        <f t="shared" si="18"/>
        <v>0.50264333333333333</v>
      </c>
      <c r="AJ51" s="1202">
        <f t="shared" si="19"/>
        <v>0.13667859571163532</v>
      </c>
      <c r="AK51" s="1201">
        <f t="shared" si="20"/>
        <v>0.86332140428836468</v>
      </c>
      <c r="AL51" s="1230">
        <f t="shared" si="14"/>
        <v>3.4351252549721719E-5</v>
      </c>
      <c r="AM51" s="1205">
        <f t="shared" si="15"/>
        <v>0.99996564874745031</v>
      </c>
      <c r="AN51"/>
      <c r="AO51"/>
      <c r="AP51"/>
      <c r="AQ51"/>
      <c r="AR51"/>
      <c r="AS51" s="1208">
        <f>(AG45-AG60)/AG60</f>
        <v>-5.2749294031098626E-3</v>
      </c>
      <c r="AT51" s="1208">
        <f>(AH60-AH45)/AH45</f>
        <v>-7.2605368523301341E-3</v>
      </c>
      <c r="AU51" s="1208">
        <f>(AJ60-AJ45)/AJ45</f>
        <v>-1.2497167436114311E-2</v>
      </c>
      <c r="AV51"/>
    </row>
    <row r="52" spans="2:48" s="33" customFormat="1" x14ac:dyDescent="0.25">
      <c r="T52"/>
      <c r="U52"/>
      <c r="V52"/>
      <c r="AA52"/>
      <c r="AB52"/>
      <c r="AC52"/>
      <c r="AD52"/>
      <c r="AE52" s="1228">
        <f t="shared" si="16"/>
        <v>3.4210970158112841E-5</v>
      </c>
      <c r="AF52" s="1266">
        <v>43854</v>
      </c>
      <c r="AG52" s="1210">
        <v>29230.39</v>
      </c>
      <c r="AH52" s="1201">
        <f t="shared" si="17"/>
        <v>0.49451452380952388</v>
      </c>
      <c r="AI52" s="1201">
        <f t="shared" si="18"/>
        <v>0.50548547619047612</v>
      </c>
      <c r="AJ52" s="1202">
        <f t="shared" si="19"/>
        <v>0.13534257293440799</v>
      </c>
      <c r="AK52" s="1201">
        <f t="shared" si="20"/>
        <v>0.86465742706559201</v>
      </c>
      <c r="AL52" s="1230">
        <f t="shared" si="14"/>
        <v>3.4210970158112841E-5</v>
      </c>
      <c r="AM52" s="1205">
        <f t="shared" si="15"/>
        <v>0.9999657890298419</v>
      </c>
      <c r="AN52"/>
      <c r="AO52"/>
      <c r="AP52"/>
      <c r="AQ52"/>
      <c r="AR52"/>
      <c r="AS52"/>
      <c r="AT52"/>
      <c r="AU52"/>
      <c r="AV52"/>
    </row>
    <row r="53" spans="2:48" s="33" customFormat="1" x14ac:dyDescent="0.25">
      <c r="T53"/>
      <c r="U53"/>
      <c r="V53"/>
      <c r="AA53"/>
      <c r="AB53"/>
      <c r="AC53"/>
      <c r="AD53"/>
      <c r="AE53" s="1228">
        <f t="shared" si="16"/>
        <v>3.5035485691682821E-5</v>
      </c>
      <c r="AF53" s="1266">
        <v>43857</v>
      </c>
      <c r="AG53" s="1210">
        <v>28542.49</v>
      </c>
      <c r="AH53" s="1201">
        <f t="shared" si="17"/>
        <v>0.51089309523809523</v>
      </c>
      <c r="AI53" s="1201">
        <f t="shared" si="18"/>
        <v>0.48910690476190483</v>
      </c>
      <c r="AJ53" s="1202">
        <f t="shared" si="19"/>
        <v>0.14319510182555073</v>
      </c>
      <c r="AK53" s="1201">
        <f t="shared" si="20"/>
        <v>0.85680489817444927</v>
      </c>
      <c r="AL53" s="1230">
        <f t="shared" si="14"/>
        <v>3.5035485691682821E-5</v>
      </c>
      <c r="AM53" s="1205">
        <f t="shared" si="15"/>
        <v>0.99996496451430827</v>
      </c>
      <c r="AN53"/>
      <c r="AO53"/>
      <c r="AP53"/>
      <c r="AQ53"/>
      <c r="AR53"/>
      <c r="AS53"/>
      <c r="AT53"/>
      <c r="AU53"/>
      <c r="AV53"/>
    </row>
    <row r="54" spans="2:48" s="33" customFormat="1" x14ac:dyDescent="0.25">
      <c r="T54"/>
      <c r="U54"/>
      <c r="V54"/>
      <c r="AA54"/>
      <c r="AB54"/>
      <c r="AC54"/>
      <c r="AD54"/>
      <c r="AE54" s="1228">
        <f t="shared" si="16"/>
        <v>3.497202937090915E-5</v>
      </c>
      <c r="AF54" s="1266">
        <v>43858</v>
      </c>
      <c r="AG54" s="1210">
        <v>28594.28</v>
      </c>
      <c r="AH54" s="1201">
        <f t="shared" si="17"/>
        <v>0.50966</v>
      </c>
      <c r="AI54" s="1201">
        <f t="shared" si="18"/>
        <v>0.49034</v>
      </c>
      <c r="AJ54" s="1202">
        <f t="shared" si="19"/>
        <v>0.14259075591342052</v>
      </c>
      <c r="AK54" s="1201">
        <f t="shared" si="20"/>
        <v>0.85740924408657948</v>
      </c>
      <c r="AL54" s="1230">
        <f t="shared" si="14"/>
        <v>3.497202937090915E-5</v>
      </c>
      <c r="AM54" s="1205">
        <f t="shared" si="15"/>
        <v>0.99996502797062914</v>
      </c>
      <c r="AN54"/>
      <c r="AO54"/>
      <c r="AP54"/>
      <c r="AQ54"/>
      <c r="AR54"/>
      <c r="AS54"/>
      <c r="AT54"/>
      <c r="AU54"/>
      <c r="AV54"/>
    </row>
    <row r="55" spans="2:48" s="33" customFormat="1" x14ac:dyDescent="0.25">
      <c r="T55"/>
      <c r="U55"/>
      <c r="V55"/>
      <c r="AA55"/>
      <c r="AB55"/>
      <c r="AC55"/>
      <c r="AD55"/>
      <c r="AE55" s="1228">
        <f t="shared" si="16"/>
        <v>3.4697488214130693E-5</v>
      </c>
      <c r="AF55" s="1266">
        <v>43859</v>
      </c>
      <c r="AG55" s="1210">
        <v>28820.53</v>
      </c>
      <c r="AH55" s="1201">
        <f t="shared" si="17"/>
        <v>0.50427309523809527</v>
      </c>
      <c r="AI55" s="1201">
        <f t="shared" si="18"/>
        <v>0.49572690476190473</v>
      </c>
      <c r="AJ55" s="1202">
        <f t="shared" si="19"/>
        <v>0.13997607822981606</v>
      </c>
      <c r="AK55" s="1201">
        <f t="shared" si="20"/>
        <v>0.86002392177018394</v>
      </c>
      <c r="AL55" s="1230">
        <f t="shared" si="14"/>
        <v>3.4697488214130693E-5</v>
      </c>
      <c r="AM55" s="1205">
        <f t="shared" si="15"/>
        <v>0.99996530251178584</v>
      </c>
      <c r="AN55"/>
      <c r="AO55"/>
      <c r="AP55"/>
      <c r="AQ55"/>
      <c r="AR55"/>
      <c r="AS55"/>
      <c r="AT55"/>
      <c r="AU55"/>
      <c r="AV55"/>
    </row>
    <row r="56" spans="2:48" s="33" customFormat="1" x14ac:dyDescent="0.25">
      <c r="T56"/>
      <c r="U56"/>
      <c r="V56"/>
      <c r="AA56"/>
      <c r="AB56"/>
      <c r="AC56"/>
      <c r="AD56"/>
      <c r="AE56" s="1228">
        <f t="shared" si="16"/>
        <v>3.4916006055832087E-5</v>
      </c>
      <c r="AF56" s="1266">
        <v>43860</v>
      </c>
      <c r="AG56" s="1210">
        <v>28640.16</v>
      </c>
      <c r="AH56" s="1201">
        <f t="shared" si="17"/>
        <v>0.50856761904761905</v>
      </c>
      <c r="AI56" s="1201">
        <f t="shared" si="18"/>
        <v>0.49143238095238095</v>
      </c>
      <c r="AJ56" s="1202">
        <f t="shared" si="19"/>
        <v>0.14205720053173421</v>
      </c>
      <c r="AK56" s="1201">
        <f t="shared" si="20"/>
        <v>0.85794279946826579</v>
      </c>
      <c r="AL56" s="1230">
        <f t="shared" si="14"/>
        <v>3.4916006055832087E-5</v>
      </c>
      <c r="AM56" s="1205">
        <f t="shared" si="15"/>
        <v>0.99996508399394413</v>
      </c>
      <c r="AN56"/>
      <c r="AO56"/>
      <c r="AP56"/>
      <c r="AQ56"/>
      <c r="AR56"/>
      <c r="AS56"/>
      <c r="AT56"/>
      <c r="AU56"/>
      <c r="AV56"/>
    </row>
    <row r="57" spans="2:48" x14ac:dyDescent="0.25">
      <c r="B57" s="33"/>
      <c r="L57" s="33"/>
      <c r="M57" s="33"/>
      <c r="N57" s="33"/>
      <c r="O57" s="33"/>
      <c r="P57" s="33"/>
      <c r="Q57" s="33"/>
      <c r="R57" s="33"/>
      <c r="S57" s="33"/>
      <c r="AE57" s="1228">
        <f t="shared" si="16"/>
        <v>3.4706507886706849E-5</v>
      </c>
      <c r="AF57" s="1266">
        <v>43861</v>
      </c>
      <c r="AG57" s="1210">
        <v>28813.040000000001</v>
      </c>
      <c r="AH57" s="1201">
        <f t="shared" si="17"/>
        <v>0.50445142857142855</v>
      </c>
      <c r="AI57" s="1201">
        <f t="shared" si="18"/>
        <v>0.49554857142857145</v>
      </c>
      <c r="AJ57" s="1202">
        <f t="shared" si="19"/>
        <v>0.14006197987339852</v>
      </c>
      <c r="AK57" s="1201">
        <f t="shared" si="20"/>
        <v>0.85993802012660148</v>
      </c>
      <c r="AL57" s="1230">
        <f t="shared" si="14"/>
        <v>3.4706507886706849E-5</v>
      </c>
      <c r="AM57" s="1205">
        <f t="shared" si="15"/>
        <v>0.99996529349211327</v>
      </c>
    </row>
    <row r="58" spans="2:48" s="33" customFormat="1" x14ac:dyDescent="0.25">
      <c r="T58"/>
      <c r="U58"/>
      <c r="V58"/>
      <c r="W58" s="1265"/>
      <c r="X58"/>
      <c r="Z58" s="1132"/>
      <c r="AA58"/>
      <c r="AB58"/>
      <c r="AC58"/>
      <c r="AD58"/>
      <c r="AE58" s="1228">
        <f t="shared" si="16"/>
        <v>3.5311170865459139E-5</v>
      </c>
      <c r="AF58" s="1266">
        <v>43864</v>
      </c>
      <c r="AG58" s="1210">
        <v>28319.65</v>
      </c>
      <c r="AH58" s="1201">
        <f t="shared" si="17"/>
        <v>0.51619880952380948</v>
      </c>
      <c r="AI58" s="1201">
        <f t="shared" si="18"/>
        <v>0.48380119047619052</v>
      </c>
      <c r="AJ58" s="1202">
        <f t="shared" si="19"/>
        <v>0.14582067490913464</v>
      </c>
      <c r="AK58" s="1201">
        <f t="shared" si="20"/>
        <v>0.85417932509086536</v>
      </c>
      <c r="AL58" s="1230">
        <f t="shared" si="14"/>
        <v>3.5311170865459139E-5</v>
      </c>
      <c r="AM58" s="1205">
        <f t="shared" si="15"/>
        <v>0.99996468882913458</v>
      </c>
      <c r="AN58"/>
      <c r="AO58"/>
      <c r="AP58"/>
      <c r="AQ58" s="1199"/>
      <c r="AR58" s="1199"/>
      <c r="AS58" s="1199"/>
      <c r="AT58" s="1199"/>
      <c r="AU58" s="1200"/>
      <c r="AV58"/>
    </row>
    <row r="59" spans="2:48" s="33" customFormat="1" ht="15.75" thickBot="1" x14ac:dyDescent="0.3">
      <c r="T59"/>
      <c r="U59"/>
      <c r="V59"/>
      <c r="W59" s="1265"/>
      <c r="X59"/>
      <c r="Y59"/>
      <c r="Z59"/>
      <c r="AA59"/>
      <c r="AB59"/>
      <c r="AC59"/>
      <c r="AD59"/>
      <c r="AE59" s="1228">
        <f t="shared" si="16"/>
        <v>3.4847163824183515E-5</v>
      </c>
      <c r="AF59" s="1266">
        <v>43865</v>
      </c>
      <c r="AG59" s="1210">
        <v>28696.74</v>
      </c>
      <c r="AH59" s="1201">
        <f t="shared" si="17"/>
        <v>0.50722047619047617</v>
      </c>
      <c r="AI59" s="1201">
        <f t="shared" si="18"/>
        <v>0.49277952380952383</v>
      </c>
      <c r="AJ59" s="1202">
        <f t="shared" si="19"/>
        <v>0.14140156023031913</v>
      </c>
      <c r="AK59" s="1201">
        <f t="shared" si="20"/>
        <v>0.85859843976968087</v>
      </c>
      <c r="AL59" s="1230">
        <f t="shared" si="14"/>
        <v>3.4847163824183515E-5</v>
      </c>
      <c r="AM59" s="1205">
        <f t="shared" si="15"/>
        <v>0.99996515283617582</v>
      </c>
      <c r="AN59"/>
      <c r="AO59"/>
      <c r="AP59"/>
      <c r="AQ59" s="1199"/>
      <c r="AR59" s="1199"/>
      <c r="AS59" s="1199"/>
      <c r="AT59" s="1199"/>
      <c r="AU59" s="1200"/>
      <c r="AV59"/>
    </row>
    <row r="60" spans="2:48" s="33" customFormat="1" x14ac:dyDescent="0.25">
      <c r="B60" s="993" t="s">
        <v>755</v>
      </c>
      <c r="C60" s="251"/>
      <c r="D60" s="251"/>
      <c r="E60" s="251"/>
      <c r="F60" s="251"/>
      <c r="G60" s="251"/>
      <c r="H60" s="251"/>
      <c r="I60" s="251"/>
      <c r="J60" s="251" t="s">
        <v>750</v>
      </c>
      <c r="K60" s="251"/>
      <c r="L60" s="10"/>
      <c r="M60" s="10"/>
      <c r="N60" s="10"/>
      <c r="O60" s="10"/>
      <c r="P60" s="10"/>
      <c r="Q60" s="10"/>
      <c r="R60" s="1301" t="s">
        <v>751</v>
      </c>
      <c r="S60" s="251"/>
      <c r="T60" s="11"/>
      <c r="U60"/>
      <c r="V60"/>
      <c r="AA60"/>
      <c r="AB60"/>
      <c r="AC60"/>
      <c r="AD60"/>
      <c r="AE60" s="1228">
        <f t="shared" si="16"/>
        <v>3.4424912896364142E-5</v>
      </c>
      <c r="AF60" s="1266">
        <v>43866</v>
      </c>
      <c r="AG60" s="1210">
        <v>29048.73</v>
      </c>
      <c r="AH60" s="1201">
        <f t="shared" si="17"/>
        <v>0.49883976190476187</v>
      </c>
      <c r="AI60" s="1201">
        <f t="shared" si="18"/>
        <v>0.50116023809523813</v>
      </c>
      <c r="AJ60" s="1202">
        <f t="shared" si="19"/>
        <v>0.13738012282251577</v>
      </c>
      <c r="AK60" s="1201">
        <f t="shared" si="20"/>
        <v>0.86261987717748423</v>
      </c>
      <c r="AL60" s="1230">
        <f t="shared" si="14"/>
        <v>3.4424912896364142E-5</v>
      </c>
      <c r="AM60" s="1205">
        <f t="shared" si="15"/>
        <v>0.9999655750871036</v>
      </c>
      <c r="AN60"/>
      <c r="AO60"/>
      <c r="AP60"/>
      <c r="AQ60" s="1199"/>
      <c r="AR60" s="1199"/>
      <c r="AS60" s="1199"/>
      <c r="AT60" s="1199"/>
      <c r="AU60" s="1200"/>
      <c r="AV60"/>
    </row>
    <row r="61" spans="2:48" s="33" customFormat="1" x14ac:dyDescent="0.25">
      <c r="B61" s="648"/>
      <c r="C61" s="17"/>
      <c r="D61" s="17"/>
      <c r="E61" s="17"/>
      <c r="F61" s="1242" t="s">
        <v>361</v>
      </c>
      <c r="G61" s="1242" t="s">
        <v>12</v>
      </c>
      <c r="H61" s="1242" t="s">
        <v>748</v>
      </c>
      <c r="I61" s="1075" t="s">
        <v>772</v>
      </c>
      <c r="J61" s="1297" t="s">
        <v>747</v>
      </c>
      <c r="K61" s="7"/>
      <c r="L61" s="7"/>
      <c r="M61" s="7"/>
      <c r="N61" s="7"/>
      <c r="O61" s="7"/>
      <c r="P61" s="7"/>
      <c r="Q61" s="7"/>
      <c r="R61" s="7" t="s">
        <v>747</v>
      </c>
      <c r="S61" s="17"/>
      <c r="T61" s="100"/>
      <c r="U61"/>
      <c r="V61"/>
      <c r="AA61"/>
      <c r="AB61"/>
      <c r="AC61"/>
      <c r="AD61"/>
      <c r="AE61" s="1228"/>
      <c r="AF61"/>
      <c r="AG61" s="931"/>
      <c r="AH61" s="1201"/>
      <c r="AI61" s="1201"/>
      <c r="AJ61" s="1202"/>
      <c r="AK61" s="1201"/>
      <c r="AL61" s="798"/>
      <c r="AM61" s="7"/>
      <c r="AN61"/>
      <c r="AO61"/>
      <c r="AP61"/>
      <c r="AQ61" s="1199"/>
      <c r="AR61" s="1199"/>
      <c r="AS61" s="1199"/>
      <c r="AT61" s="1199"/>
      <c r="AU61" s="1200"/>
      <c r="AV61"/>
    </row>
    <row r="62" spans="2:48" s="33" customFormat="1" x14ac:dyDescent="0.25">
      <c r="B62" s="114"/>
      <c r="C62" s="17" t="s">
        <v>769</v>
      </c>
      <c r="D62" s="17"/>
      <c r="E62" s="17"/>
      <c r="F62" s="1293">
        <f>G62*E25</f>
        <v>3.4114306444266173E-4</v>
      </c>
      <c r="G62" s="1242">
        <v>10</v>
      </c>
      <c r="H62" s="1242">
        <f>F62/G62</f>
        <v>3.4114306444266175E-5</v>
      </c>
      <c r="I62" s="1289">
        <f>B25</f>
        <v>43847</v>
      </c>
      <c r="J62" s="1298">
        <f>H25</f>
        <v>29313.215018253035</v>
      </c>
      <c r="K62" s="7"/>
      <c r="L62" s="7"/>
      <c r="M62" s="7"/>
      <c r="N62" s="7"/>
      <c r="O62" s="7"/>
      <c r="P62" s="7"/>
      <c r="Q62" s="7"/>
      <c r="R62" s="160">
        <f>J63</f>
        <v>29290.849999954749</v>
      </c>
      <c r="S62" s="17"/>
      <c r="T62" s="100"/>
      <c r="U62"/>
      <c r="V62"/>
      <c r="AA62"/>
      <c r="AB62"/>
      <c r="AC62"/>
      <c r="AD62"/>
      <c r="AE62" s="1228"/>
      <c r="AF62" s="6" t="s">
        <v>722</v>
      </c>
      <c r="AG62" s="84"/>
      <c r="AH62"/>
      <c r="AI62"/>
      <c r="AJ62"/>
      <c r="AK62"/>
      <c r="AL62" s="84"/>
      <c r="AM62"/>
      <c r="AN62"/>
      <c r="AO62"/>
      <c r="AP62"/>
      <c r="AQ62" s="1199"/>
      <c r="AR62" s="1199"/>
      <c r="AS62" s="1199"/>
      <c r="AT62" s="1199"/>
      <c r="AU62" s="1200"/>
      <c r="AV62"/>
    </row>
    <row r="63" spans="2:48" s="33" customFormat="1" ht="15.75" thickBot="1" x14ac:dyDescent="0.3">
      <c r="B63" s="114"/>
      <c r="C63" s="17" t="s">
        <v>754</v>
      </c>
      <c r="D63" s="17"/>
      <c r="E63" s="17"/>
      <c r="F63" s="1294">
        <f>E31*G63</f>
        <v>3.4140354411071883E-4</v>
      </c>
      <c r="G63" s="1274">
        <v>10</v>
      </c>
      <c r="H63" s="1274">
        <f>F63/G63</f>
        <v>3.4140354411071883E-5</v>
      </c>
      <c r="I63" s="1289">
        <v>43874</v>
      </c>
      <c r="J63" s="1299">
        <f>H31</f>
        <v>29290.849999954749</v>
      </c>
      <c r="K63" s="7"/>
      <c r="L63" s="7"/>
      <c r="M63" s="7"/>
      <c r="N63" s="7"/>
      <c r="O63" s="7"/>
      <c r="P63" s="7"/>
      <c r="Q63" s="7"/>
      <c r="R63" s="1300">
        <f>J62</f>
        <v>29313.215018253035</v>
      </c>
      <c r="S63" s="17"/>
      <c r="T63" s="100"/>
      <c r="U63"/>
      <c r="V63"/>
      <c r="AA63"/>
      <c r="AB63"/>
      <c r="AC63"/>
      <c r="AD63"/>
      <c r="AE63" s="1229">
        <f>(AE60-AE45)/AE45</f>
        <v>-5.2749294031098825E-3</v>
      </c>
      <c r="AF63" s="22" t="s">
        <v>515</v>
      </c>
      <c r="AG63" s="1236">
        <f t="shared" ref="AG63:AM63" si="21">(AG60-AG45)/AG45</f>
        <v>5.3029018359259938E-3</v>
      </c>
      <c r="AH63" s="1211">
        <f t="shared" si="21"/>
        <v>-7.2605368523301341E-3</v>
      </c>
      <c r="AI63" s="1211">
        <f t="shared" si="21"/>
        <v>7.3331578569549097E-3</v>
      </c>
      <c r="AJ63" s="1211">
        <f t="shared" si="21"/>
        <v>-1.2497167436114311E-2</v>
      </c>
      <c r="AK63" s="1211">
        <f t="shared" si="21"/>
        <v>2.0195465638475226E-3</v>
      </c>
      <c r="AL63" s="1223">
        <f t="shared" si="21"/>
        <v>-5.2749294031098825E-3</v>
      </c>
      <c r="AM63" s="1224">
        <f t="shared" si="21"/>
        <v>1.8255825166996002E-7</v>
      </c>
      <c r="AN63"/>
      <c r="AO63"/>
      <c r="AP63"/>
      <c r="AQ63" s="1199"/>
      <c r="AR63" s="1199"/>
      <c r="AS63" s="1199"/>
      <c r="AT63" s="1199"/>
      <c r="AU63" s="1200"/>
      <c r="AV63"/>
    </row>
    <row r="64" spans="2:48" s="33" customFormat="1" ht="15.75" thickTop="1" x14ac:dyDescent="0.25">
      <c r="B64" s="114"/>
      <c r="C64" s="17"/>
      <c r="D64" s="17"/>
      <c r="E64" s="21" t="s">
        <v>449</v>
      </c>
      <c r="F64" s="1295">
        <f>F63-F62</f>
        <v>2.6047966805709238E-7</v>
      </c>
      <c r="G64" s="1242"/>
      <c r="H64" s="1242"/>
      <c r="I64" s="17"/>
      <c r="J64" s="1296">
        <f>J63-J62</f>
        <v>-22.365018298285577</v>
      </c>
      <c r="K64" s="7"/>
      <c r="L64" s="7"/>
      <c r="M64" s="7"/>
      <c r="N64" s="7"/>
      <c r="O64" s="7"/>
      <c r="P64" s="7"/>
      <c r="Q64" s="1242" t="s">
        <v>449</v>
      </c>
      <c r="R64" s="1296">
        <f>R63-R62</f>
        <v>22.365018298285577</v>
      </c>
      <c r="S64" s="17"/>
      <c r="T64" s="100"/>
      <c r="U64"/>
      <c r="V64"/>
      <c r="AA64"/>
      <c r="AB64"/>
      <c r="AC64"/>
      <c r="AD64"/>
      <c r="AE64" s="1235">
        <f>(AE45-AE60)/AE60</f>
        <v>5.3029018359260138E-3</v>
      </c>
      <c r="AF64" s="24" t="s">
        <v>516</v>
      </c>
      <c r="AG64" s="1217">
        <f t="shared" ref="AG64:AM64" si="22">(AG45-AG60)/AG60</f>
        <v>-5.2749294031098626E-3</v>
      </c>
      <c r="AH64" s="1213">
        <f t="shared" si="22"/>
        <v>7.313637789021922E-3</v>
      </c>
      <c r="AI64" s="1213">
        <f t="shared" si="22"/>
        <v>-7.279774124139618E-3</v>
      </c>
      <c r="AJ64" s="1213">
        <f t="shared" si="22"/>
        <v>1.2655323128205626E-2</v>
      </c>
      <c r="AK64" s="1213">
        <f t="shared" si="22"/>
        <v>-2.0154762157814248E-3</v>
      </c>
      <c r="AL64" s="1237">
        <f t="shared" si="22"/>
        <v>5.3029018359260138E-3</v>
      </c>
      <c r="AM64" s="1225">
        <f t="shared" si="22"/>
        <v>-1.8255821834245085E-7</v>
      </c>
      <c r="AN64"/>
      <c r="AO64"/>
      <c r="AP64"/>
      <c r="AQ64" s="1199"/>
      <c r="AR64" s="1199"/>
      <c r="AS64" s="1199"/>
      <c r="AT64" s="1199"/>
      <c r="AU64" s="1200"/>
      <c r="AV64"/>
    </row>
    <row r="65" spans="2:48" s="33" customFormat="1" x14ac:dyDescent="0.25">
      <c r="B65" s="114"/>
      <c r="C65" s="17"/>
      <c r="D65" s="17"/>
      <c r="E65" s="21" t="s">
        <v>351</v>
      </c>
      <c r="F65" s="1290">
        <f>F64/F62</f>
        <v>7.6354965176456927E-4</v>
      </c>
      <c r="G65" s="17"/>
      <c r="H65" s="17"/>
      <c r="I65" s="17"/>
      <c r="J65" s="848">
        <f>J64/J62</f>
        <v>-7.6296708785983088E-4</v>
      </c>
      <c r="K65" s="7"/>
      <c r="L65" s="7"/>
      <c r="M65" s="7"/>
      <c r="N65" s="7"/>
      <c r="O65" s="7"/>
      <c r="P65" s="7"/>
      <c r="Q65" s="1242" t="s">
        <v>351</v>
      </c>
      <c r="R65" s="1290">
        <f>R64/R62</f>
        <v>7.6354965111357742E-4</v>
      </c>
      <c r="S65" s="17"/>
      <c r="T65" s="100"/>
      <c r="U65"/>
      <c r="V65"/>
      <c r="AA65"/>
      <c r="AB65"/>
      <c r="AC65"/>
      <c r="AD65"/>
      <c r="AE65"/>
      <c r="AF65"/>
      <c r="AG65" s="84"/>
      <c r="AH65"/>
      <c r="AI65"/>
      <c r="AJ65"/>
      <c r="AK65"/>
      <c r="AL65"/>
      <c r="AM65" s="84"/>
      <c r="AN65" s="84"/>
      <c r="AO65"/>
      <c r="AP65"/>
      <c r="AQ65" s="1199"/>
      <c r="AR65" s="1199"/>
      <c r="AS65" s="1199"/>
      <c r="AT65" s="1199"/>
      <c r="AU65" s="1200"/>
      <c r="AV65"/>
    </row>
    <row r="66" spans="2:48" s="33" customFormat="1" x14ac:dyDescent="0.25">
      <c r="B66" s="114"/>
      <c r="C66" s="17"/>
      <c r="D66" s="17"/>
      <c r="E66" s="17"/>
      <c r="F66" s="17"/>
      <c r="G66" s="17"/>
      <c r="H66" s="17"/>
      <c r="I66" s="17"/>
      <c r="J66" s="1242"/>
      <c r="K66" s="1242"/>
      <c r="L66" s="1242"/>
      <c r="M66" s="1242"/>
      <c r="N66" s="1242"/>
      <c r="O66" s="1242"/>
      <c r="P66" s="1242"/>
      <c r="Q66" s="1242"/>
      <c r="R66" s="17"/>
      <c r="S66" s="17"/>
      <c r="T66" s="100"/>
      <c r="U66"/>
      <c r="V66"/>
      <c r="AA66"/>
      <c r="AB66"/>
      <c r="AC66"/>
      <c r="AD66"/>
      <c r="AE66"/>
      <c r="AF66"/>
      <c r="AG66" s="84"/>
      <c r="AH66"/>
      <c r="AI66"/>
      <c r="AJ66"/>
      <c r="AK66"/>
      <c r="AL66"/>
      <c r="AM66" s="84"/>
      <c r="AN66" s="84"/>
      <c r="AO66"/>
      <c r="AP66"/>
      <c r="AQ66" s="1199"/>
      <c r="AR66" s="1199"/>
      <c r="AS66" s="1199"/>
      <c r="AT66" s="1199"/>
      <c r="AU66" s="1200"/>
      <c r="AV66"/>
    </row>
    <row r="67" spans="2:48" x14ac:dyDescent="0.25">
      <c r="B67" s="648"/>
      <c r="C67" s="17"/>
      <c r="D67" s="17"/>
      <c r="E67" s="17"/>
      <c r="G67" s="17"/>
      <c r="H67" s="17"/>
      <c r="I67" s="17"/>
      <c r="J67" s="17"/>
      <c r="K67" s="17"/>
      <c r="L67" s="7"/>
      <c r="M67" s="7"/>
      <c r="N67" s="7"/>
      <c r="O67" s="7"/>
      <c r="P67" s="7"/>
      <c r="Q67" s="7"/>
      <c r="R67" s="7"/>
      <c r="S67" s="7"/>
      <c r="T67" s="100"/>
      <c r="AG67" s="931"/>
      <c r="AH67" s="1589" t="s">
        <v>694</v>
      </c>
      <c r="AI67" s="1588"/>
      <c r="AJ67" s="1587" t="s">
        <v>695</v>
      </c>
      <c r="AK67" s="1588"/>
      <c r="AL67" s="7"/>
      <c r="AM67" s="1589" t="s">
        <v>717</v>
      </c>
      <c r="AN67" s="1589"/>
      <c r="AO67" s="7"/>
      <c r="AQ67" s="1199"/>
      <c r="AR67" s="1199"/>
      <c r="AS67" s="1199"/>
      <c r="AT67" s="1199"/>
      <c r="AU67" s="1200"/>
    </row>
    <row r="68" spans="2:48" x14ac:dyDescent="0.25">
      <c r="B68" s="648"/>
      <c r="C68" s="17"/>
      <c r="D68" s="17"/>
      <c r="E68" s="17"/>
      <c r="F68" s="17" t="s">
        <v>770</v>
      </c>
      <c r="G68" s="17"/>
      <c r="H68" s="17"/>
      <c r="I68" s="17"/>
      <c r="J68" s="17"/>
      <c r="K68" s="17" t="s">
        <v>771</v>
      </c>
      <c r="L68" s="7"/>
      <c r="M68" s="7"/>
      <c r="N68" s="7"/>
      <c r="O68" s="7"/>
      <c r="P68" s="7"/>
      <c r="Q68" s="7"/>
      <c r="R68" s="7"/>
      <c r="S68" s="7"/>
      <c r="T68" s="100"/>
      <c r="AG68" s="1078" t="s">
        <v>725</v>
      </c>
      <c r="AH68" s="1172" t="s">
        <v>719</v>
      </c>
      <c r="AI68" s="1078" t="s">
        <v>718</v>
      </c>
      <c r="AJ68" s="1029" t="s">
        <v>720</v>
      </c>
      <c r="AK68" s="1078" t="s">
        <v>721</v>
      </c>
      <c r="AL68" s="1171" t="s">
        <v>723</v>
      </c>
      <c r="AM68" s="1171"/>
      <c r="AN68" s="1171"/>
      <c r="AO68" s="7"/>
      <c r="AQ68" s="1199"/>
      <c r="AR68" s="1199"/>
      <c r="AS68" s="1199"/>
      <c r="AT68" s="1199"/>
      <c r="AU68" s="1200"/>
    </row>
    <row r="69" spans="2:48" ht="15.75" thickBot="1" x14ac:dyDescent="0.3">
      <c r="B69" s="859"/>
      <c r="C69" s="252"/>
      <c r="D69" s="252"/>
      <c r="E69" s="252"/>
      <c r="F69" s="252"/>
      <c r="G69" s="252"/>
      <c r="H69" s="252"/>
      <c r="I69" s="252"/>
      <c r="J69" s="252"/>
      <c r="K69" s="252"/>
      <c r="L69" s="166"/>
      <c r="M69" s="166"/>
      <c r="N69" s="166"/>
      <c r="O69" s="166"/>
      <c r="P69" s="166"/>
      <c r="Q69" s="166"/>
      <c r="R69" s="166"/>
      <c r="S69" s="166"/>
      <c r="T69" s="102"/>
      <c r="AF69" s="1198">
        <v>43844</v>
      </c>
      <c r="AG69" s="1222">
        <f>1+(1/AG45)</f>
        <v>1.0000346074648301</v>
      </c>
      <c r="AH69" s="1201" t="e">
        <f>1-AI69</f>
        <v>#VALUE!</v>
      </c>
      <c r="AI69" s="1201" t="e">
        <f>(AG69-$D$6)/$D$8</f>
        <v>#VALUE!</v>
      </c>
      <c r="AJ69" s="1202" t="e">
        <f>1-AK69</f>
        <v>#VALUE!</v>
      </c>
      <c r="AK69" s="1201" t="e">
        <f>($D$7/$D$8)*(1-($D$6/AG69))</f>
        <v>#VALUE!</v>
      </c>
      <c r="AL69" s="254">
        <f>AG69*100</f>
        <v>100.00346074648301</v>
      </c>
      <c r="AM69" s="84"/>
      <c r="AN69" s="1215">
        <f>1/AG69</f>
        <v>0.99996539373280513</v>
      </c>
      <c r="AO69" s="1206">
        <f>1-AN69</f>
        <v>3.4606267194869922E-5</v>
      </c>
      <c r="AQ69" s="1199"/>
      <c r="AR69" s="1199"/>
      <c r="AS69" s="1199"/>
      <c r="AT69" s="1199"/>
      <c r="AU69" s="1200"/>
    </row>
    <row r="70" spans="2:48" x14ac:dyDescent="0.25">
      <c r="S70" s="33"/>
      <c r="AF70" s="1198">
        <v>43845</v>
      </c>
      <c r="AG70" s="1222">
        <f t="shared" ref="AG70:AG84" si="23">1+(1/AG46)</f>
        <v>1.0000345999211122</v>
      </c>
      <c r="AH70" s="1201" t="e">
        <f t="shared" ref="AH70:AH84" si="24">1-AI70</f>
        <v>#VALUE!</v>
      </c>
      <c r="AI70" s="1201" t="e">
        <f t="shared" ref="AI70:AI84" si="25">(AG70-$D$6)/$D$8</f>
        <v>#VALUE!</v>
      </c>
      <c r="AJ70" s="1202" t="e">
        <f t="shared" ref="AJ70:AJ84" si="26">1-AK70</f>
        <v>#VALUE!</v>
      </c>
      <c r="AK70" s="1201" t="e">
        <f t="shared" ref="AK70:AK84" si="27">($D$7/$D$8)*(1-($D$6/AG70))</f>
        <v>#VALUE!</v>
      </c>
      <c r="AL70" s="254">
        <f t="shared" ref="AL70:AL84" si="28">AG70*100</f>
        <v>100.00345999211122</v>
      </c>
      <c r="AM70" s="84"/>
      <c r="AN70" s="1215">
        <f t="shared" ref="AN70:AN84" si="29">1/AG70</f>
        <v>0.99996540127600086</v>
      </c>
      <c r="AO70" s="1206">
        <f t="shared" ref="AO70:AO84" si="30">1-AN70</f>
        <v>3.4598723999135217E-5</v>
      </c>
      <c r="AQ70" s="1199"/>
      <c r="AR70" s="1199"/>
      <c r="AS70" s="1199"/>
      <c r="AT70" s="1199"/>
      <c r="AU70" s="1200"/>
    </row>
    <row r="71" spans="2:48" x14ac:dyDescent="0.25">
      <c r="C71" s="459"/>
      <c r="D71" s="459"/>
      <c r="S71" s="33"/>
      <c r="AF71" s="1198">
        <v>43846</v>
      </c>
      <c r="AG71" s="1222">
        <f t="shared" si="23"/>
        <v>1.0000343265727147</v>
      </c>
      <c r="AH71" s="1201" t="e">
        <f t="shared" si="24"/>
        <v>#VALUE!</v>
      </c>
      <c r="AI71" s="1201" t="e">
        <f t="shared" si="25"/>
        <v>#VALUE!</v>
      </c>
      <c r="AJ71" s="1202" t="e">
        <f t="shared" si="26"/>
        <v>#VALUE!</v>
      </c>
      <c r="AK71" s="1201" t="e">
        <f t="shared" si="27"/>
        <v>#VALUE!</v>
      </c>
      <c r="AL71" s="254">
        <f t="shared" si="28"/>
        <v>100.00343265727147</v>
      </c>
      <c r="AM71" s="84"/>
      <c r="AN71" s="1215">
        <f t="shared" si="29"/>
        <v>0.99996567460555841</v>
      </c>
      <c r="AO71" s="1206">
        <f t="shared" si="30"/>
        <v>3.4325394441592216E-5</v>
      </c>
      <c r="AQ71" s="1199"/>
      <c r="AR71" s="1199"/>
      <c r="AS71" s="1199"/>
      <c r="AT71" s="1199"/>
      <c r="AU71" s="1200"/>
    </row>
    <row r="72" spans="2:48" x14ac:dyDescent="0.25">
      <c r="AF72" s="1198">
        <v>43847</v>
      </c>
      <c r="AG72" s="1222">
        <f t="shared" si="23"/>
        <v>1.0000341141959062</v>
      </c>
      <c r="AH72" s="1201" t="e">
        <f t="shared" si="24"/>
        <v>#VALUE!</v>
      </c>
      <c r="AI72" s="1201" t="e">
        <f t="shared" si="25"/>
        <v>#VALUE!</v>
      </c>
      <c r="AJ72" s="1202" t="e">
        <f t="shared" si="26"/>
        <v>#VALUE!</v>
      </c>
      <c r="AK72" s="1201" t="e">
        <f t="shared" si="27"/>
        <v>#VALUE!</v>
      </c>
      <c r="AL72" s="254">
        <f t="shared" si="28"/>
        <v>100.00341141959062</v>
      </c>
      <c r="AM72" s="798"/>
      <c r="AN72" s="1215">
        <f t="shared" si="29"/>
        <v>0.99996588696783251</v>
      </c>
      <c r="AO72" s="1206">
        <f t="shared" si="30"/>
        <v>3.4113032167493174E-5</v>
      </c>
      <c r="AQ72" s="1199"/>
      <c r="AR72" s="1199"/>
      <c r="AS72" s="1199"/>
      <c r="AT72" s="1199"/>
      <c r="AU72" s="1200"/>
    </row>
    <row r="73" spans="2:48" x14ac:dyDescent="0.25">
      <c r="AF73" s="1198">
        <v>43851</v>
      </c>
      <c r="AG73" s="1222">
        <f t="shared" si="23"/>
        <v>1.000034165782627</v>
      </c>
      <c r="AH73" s="1201" t="e">
        <f t="shared" si="24"/>
        <v>#VALUE!</v>
      </c>
      <c r="AI73" s="1201" t="e">
        <f t="shared" si="25"/>
        <v>#VALUE!</v>
      </c>
      <c r="AJ73" s="1202" t="e">
        <f t="shared" si="26"/>
        <v>#VALUE!</v>
      </c>
      <c r="AK73" s="1201" t="e">
        <f t="shared" si="27"/>
        <v>#VALUE!</v>
      </c>
      <c r="AL73" s="254">
        <f t="shared" si="28"/>
        <v>100.0034165782627</v>
      </c>
      <c r="AM73" s="798"/>
      <c r="AN73" s="1215">
        <f t="shared" si="29"/>
        <v>0.99996583538463379</v>
      </c>
      <c r="AO73" s="1206">
        <f t="shared" si="30"/>
        <v>3.4164615366205631E-5</v>
      </c>
    </row>
    <row r="74" spans="2:48" x14ac:dyDescent="0.25">
      <c r="AF74" s="1198">
        <v>43852</v>
      </c>
      <c r="AG74" s="1222">
        <f t="shared" si="23"/>
        <v>1.0000341721105686</v>
      </c>
      <c r="AH74" s="1201" t="e">
        <f t="shared" si="24"/>
        <v>#VALUE!</v>
      </c>
      <c r="AI74" s="1201" t="e">
        <f t="shared" si="25"/>
        <v>#VALUE!</v>
      </c>
      <c r="AJ74" s="1202" t="e">
        <f t="shared" si="26"/>
        <v>#VALUE!</v>
      </c>
      <c r="AK74" s="1201" t="e">
        <f t="shared" si="27"/>
        <v>#VALUE!</v>
      </c>
      <c r="AL74" s="254">
        <f t="shared" si="28"/>
        <v>100.00341721105686</v>
      </c>
      <c r="AM74" s="798"/>
      <c r="AN74" s="1215">
        <f t="shared" si="29"/>
        <v>0.99996582905712472</v>
      </c>
      <c r="AO74" s="1206">
        <f t="shared" si="30"/>
        <v>3.4170942875277888E-5</v>
      </c>
    </row>
    <row r="75" spans="2:48" x14ac:dyDescent="0.25">
      <c r="AF75" s="1198">
        <v>43853</v>
      </c>
      <c r="AG75" s="1222">
        <f t="shared" si="23"/>
        <v>1.0000343512525498</v>
      </c>
      <c r="AH75" s="1201" t="e">
        <f t="shared" si="24"/>
        <v>#VALUE!</v>
      </c>
      <c r="AI75" s="1201" t="e">
        <f t="shared" si="25"/>
        <v>#VALUE!</v>
      </c>
      <c r="AJ75" s="1202" t="e">
        <f t="shared" si="26"/>
        <v>#VALUE!</v>
      </c>
      <c r="AK75" s="1201" t="e">
        <f t="shared" si="27"/>
        <v>#VALUE!</v>
      </c>
      <c r="AL75" s="254">
        <f t="shared" si="28"/>
        <v>100.00343512525498</v>
      </c>
      <c r="AM75" s="798"/>
      <c r="AN75" s="1215">
        <f t="shared" si="29"/>
        <v>0.99996564992741821</v>
      </c>
      <c r="AO75" s="1206">
        <f t="shared" si="30"/>
        <v>3.4350072581790236E-5</v>
      </c>
    </row>
    <row r="76" spans="2:48" x14ac:dyDescent="0.25">
      <c r="B76" t="s">
        <v>756</v>
      </c>
      <c r="AF76" s="1198">
        <v>43854</v>
      </c>
      <c r="AG76" s="1222">
        <f t="shared" si="23"/>
        <v>1.0000342109701581</v>
      </c>
      <c r="AH76" s="1201" t="e">
        <f t="shared" si="24"/>
        <v>#VALUE!</v>
      </c>
      <c r="AI76" s="1201" t="e">
        <f t="shared" si="25"/>
        <v>#VALUE!</v>
      </c>
      <c r="AJ76" s="1202" t="e">
        <f t="shared" si="26"/>
        <v>#VALUE!</v>
      </c>
      <c r="AK76" s="1201" t="e">
        <f t="shared" si="27"/>
        <v>#VALUE!</v>
      </c>
      <c r="AL76" s="254">
        <f t="shared" si="28"/>
        <v>100.0034210970158</v>
      </c>
      <c r="AM76" s="798"/>
      <c r="AN76" s="1215">
        <f t="shared" si="29"/>
        <v>0.99996579020019238</v>
      </c>
      <c r="AO76" s="1206">
        <f t="shared" si="30"/>
        <v>3.4209799807616292E-5</v>
      </c>
    </row>
    <row r="77" spans="2:48" x14ac:dyDescent="0.25">
      <c r="AF77" s="1198">
        <v>43857</v>
      </c>
      <c r="AG77" s="1222">
        <f t="shared" si="23"/>
        <v>1.0000350354856917</v>
      </c>
      <c r="AH77" s="1201" t="e">
        <f t="shared" si="24"/>
        <v>#VALUE!</v>
      </c>
      <c r="AI77" s="1201" t="e">
        <f t="shared" si="25"/>
        <v>#VALUE!</v>
      </c>
      <c r="AJ77" s="1202" t="e">
        <f t="shared" si="26"/>
        <v>#VALUE!</v>
      </c>
      <c r="AK77" s="1201" t="e">
        <f t="shared" si="27"/>
        <v>#VALUE!</v>
      </c>
      <c r="AL77" s="254">
        <f t="shared" si="28"/>
        <v>100.00350354856917</v>
      </c>
      <c r="AM77" s="798"/>
      <c r="AN77" s="1215">
        <f t="shared" si="29"/>
        <v>0.99996496574175053</v>
      </c>
      <c r="AO77" s="1206">
        <f t="shared" si="30"/>
        <v>3.503425824946671E-5</v>
      </c>
    </row>
    <row r="78" spans="2:48" x14ac:dyDescent="0.25">
      <c r="E78" s="1243" t="s">
        <v>361</v>
      </c>
      <c r="F78" s="1247" t="s">
        <v>538</v>
      </c>
      <c r="G78" s="1244" t="s">
        <v>12</v>
      </c>
      <c r="AF78" s="1198">
        <v>43858</v>
      </c>
      <c r="AG78" s="1222">
        <f t="shared" si="23"/>
        <v>1.0000349720293709</v>
      </c>
      <c r="AH78" s="1201" t="e">
        <f t="shared" si="24"/>
        <v>#VALUE!</v>
      </c>
      <c r="AI78" s="1201" t="e">
        <f t="shared" si="25"/>
        <v>#VALUE!</v>
      </c>
      <c r="AJ78" s="1202" t="e">
        <f t="shared" si="26"/>
        <v>#VALUE!</v>
      </c>
      <c r="AK78" s="1201" t="e">
        <f t="shared" si="27"/>
        <v>#VALUE!</v>
      </c>
      <c r="AL78" s="254">
        <f t="shared" si="28"/>
        <v>100.00349720293708</v>
      </c>
      <c r="AM78" s="798"/>
      <c r="AN78" s="1215">
        <f t="shared" si="29"/>
        <v>0.99996502919362917</v>
      </c>
      <c r="AO78" s="1206">
        <f t="shared" si="30"/>
        <v>3.4970806370826502E-5</v>
      </c>
    </row>
    <row r="79" spans="2:48" x14ac:dyDescent="0.25">
      <c r="C79" s="33" t="s">
        <v>757</v>
      </c>
      <c r="E79" s="1302">
        <v>40</v>
      </c>
      <c r="F79" s="1245">
        <v>0</v>
      </c>
      <c r="G79" s="1078">
        <v>0</v>
      </c>
      <c r="AF79" s="1198">
        <v>43859</v>
      </c>
      <c r="AG79" s="1222">
        <f t="shared" si="23"/>
        <v>1.0000346974882142</v>
      </c>
      <c r="AH79" s="1201" t="e">
        <f t="shared" si="24"/>
        <v>#VALUE!</v>
      </c>
      <c r="AI79" s="1201" t="e">
        <f t="shared" si="25"/>
        <v>#VALUE!</v>
      </c>
      <c r="AJ79" s="1202" t="e">
        <f t="shared" si="26"/>
        <v>#VALUE!</v>
      </c>
      <c r="AK79" s="1201" t="e">
        <f t="shared" si="27"/>
        <v>#VALUE!</v>
      </c>
      <c r="AL79" s="254">
        <f t="shared" si="28"/>
        <v>100.00346974882142</v>
      </c>
      <c r="AM79" s="798"/>
      <c r="AN79" s="1215">
        <f t="shared" si="29"/>
        <v>0.99996530371565973</v>
      </c>
      <c r="AO79" s="1206">
        <f t="shared" si="30"/>
        <v>3.4696284340274275E-5</v>
      </c>
    </row>
    <row r="80" spans="2:48" x14ac:dyDescent="0.25">
      <c r="AF80" s="1198">
        <v>43860</v>
      </c>
      <c r="AG80" s="1222">
        <f t="shared" si="23"/>
        <v>1.0000349160060558</v>
      </c>
      <c r="AH80" s="1201" t="e">
        <f t="shared" si="24"/>
        <v>#VALUE!</v>
      </c>
      <c r="AI80" s="1201" t="e">
        <f t="shared" si="25"/>
        <v>#VALUE!</v>
      </c>
      <c r="AJ80" s="1202" t="e">
        <f t="shared" si="26"/>
        <v>#VALUE!</v>
      </c>
      <c r="AK80" s="1201" t="e">
        <f t="shared" si="27"/>
        <v>#VALUE!</v>
      </c>
      <c r="AL80" s="254">
        <f t="shared" si="28"/>
        <v>100.00349160060557</v>
      </c>
      <c r="AM80" s="798"/>
      <c r="AN80" s="1215">
        <f t="shared" si="29"/>
        <v>0.99996508521302918</v>
      </c>
      <c r="AO80" s="1206">
        <f t="shared" si="30"/>
        <v>3.4914786970818845E-5</v>
      </c>
    </row>
    <row r="81" spans="3:41" x14ac:dyDescent="0.25">
      <c r="AF81" s="1198">
        <v>43861</v>
      </c>
      <c r="AG81" s="1222">
        <f t="shared" si="23"/>
        <v>1.0000347065078867</v>
      </c>
      <c r="AH81" s="1201" t="e">
        <f t="shared" si="24"/>
        <v>#VALUE!</v>
      </c>
      <c r="AI81" s="1201" t="e">
        <f t="shared" si="25"/>
        <v>#VALUE!</v>
      </c>
      <c r="AJ81" s="1202" t="e">
        <f t="shared" si="26"/>
        <v>#VALUE!</v>
      </c>
      <c r="AK81" s="1201" t="e">
        <f t="shared" si="27"/>
        <v>#VALUE!</v>
      </c>
      <c r="AL81" s="254">
        <f t="shared" si="28"/>
        <v>100.00347065078867</v>
      </c>
      <c r="AM81" s="798"/>
      <c r="AN81" s="1215">
        <f t="shared" si="29"/>
        <v>0.99996529469661311</v>
      </c>
      <c r="AO81" s="1206">
        <f t="shared" si="30"/>
        <v>3.4705303386894926E-5</v>
      </c>
    </row>
    <row r="82" spans="3:41" x14ac:dyDescent="0.25">
      <c r="AF82" s="1198">
        <v>43864</v>
      </c>
      <c r="AG82" s="1222">
        <f t="shared" si="23"/>
        <v>1.0000353111708655</v>
      </c>
      <c r="AH82" s="1201" t="e">
        <f t="shared" si="24"/>
        <v>#VALUE!</v>
      </c>
      <c r="AI82" s="1201" t="e">
        <f t="shared" si="25"/>
        <v>#VALUE!</v>
      </c>
      <c r="AJ82" s="1202" t="e">
        <f t="shared" si="26"/>
        <v>#VALUE!</v>
      </c>
      <c r="AK82" s="1201" t="e">
        <f t="shared" si="27"/>
        <v>#VALUE!</v>
      </c>
      <c r="AL82" s="254">
        <f t="shared" si="28"/>
        <v>100.00353111708655</v>
      </c>
      <c r="AM82" s="798"/>
      <c r="AN82" s="1215">
        <f t="shared" si="29"/>
        <v>0.99996469007596922</v>
      </c>
      <c r="AO82" s="1206">
        <f t="shared" si="30"/>
        <v>3.5309924030779705E-5</v>
      </c>
    </row>
    <row r="83" spans="3:41" x14ac:dyDescent="0.25">
      <c r="AF83" s="1198">
        <v>43865</v>
      </c>
      <c r="AG83" s="1222">
        <f t="shared" si="23"/>
        <v>1.0000348471638243</v>
      </c>
      <c r="AH83" s="1201" t="e">
        <f t="shared" si="24"/>
        <v>#VALUE!</v>
      </c>
      <c r="AI83" s="1201" t="e">
        <f t="shared" si="25"/>
        <v>#VALUE!</v>
      </c>
      <c r="AJ83" s="1202" t="e">
        <f t="shared" si="26"/>
        <v>#VALUE!</v>
      </c>
      <c r="AK83" s="1201" t="e">
        <f t="shared" si="27"/>
        <v>#VALUE!</v>
      </c>
      <c r="AL83" s="254">
        <f t="shared" si="28"/>
        <v>100.00348471638243</v>
      </c>
      <c r="AM83" s="798"/>
      <c r="AN83" s="1215">
        <f t="shared" si="29"/>
        <v>0.99996515405045827</v>
      </c>
      <c r="AO83" s="1206">
        <f t="shared" si="30"/>
        <v>3.4845949541728594E-5</v>
      </c>
    </row>
    <row r="84" spans="3:41" x14ac:dyDescent="0.25">
      <c r="AF84" s="1198">
        <v>43866</v>
      </c>
      <c r="AG84" s="1222">
        <f t="shared" si="23"/>
        <v>1.0000344249128963</v>
      </c>
      <c r="AH84" s="1201" t="e">
        <f t="shared" si="24"/>
        <v>#VALUE!</v>
      </c>
      <c r="AI84" s="1201" t="e">
        <f t="shared" si="25"/>
        <v>#VALUE!</v>
      </c>
      <c r="AJ84" s="1202" t="e">
        <f t="shared" si="26"/>
        <v>#VALUE!</v>
      </c>
      <c r="AK84" s="1201" t="e">
        <f t="shared" si="27"/>
        <v>#VALUE!</v>
      </c>
      <c r="AL84" s="254">
        <f t="shared" si="28"/>
        <v>100.00344249128963</v>
      </c>
      <c r="AM84" s="798"/>
      <c r="AN84" s="1215">
        <f t="shared" si="29"/>
        <v>0.99996557627213756</v>
      </c>
      <c r="AO84" s="1206">
        <f t="shared" si="30"/>
        <v>3.4423727862442632E-5</v>
      </c>
    </row>
    <row r="85" spans="3:41" x14ac:dyDescent="0.25">
      <c r="AM85" s="84"/>
      <c r="AN85" s="84"/>
    </row>
    <row r="86" spans="3:41" x14ac:dyDescent="0.25">
      <c r="C86" s="33" t="s">
        <v>758</v>
      </c>
      <c r="G86" s="33" t="s">
        <v>760</v>
      </c>
      <c r="H86" s="1304">
        <v>14000</v>
      </c>
      <c r="I86" s="259" t="s">
        <v>763</v>
      </c>
      <c r="AF86" s="6" t="s">
        <v>722</v>
      </c>
      <c r="AG86" s="84"/>
      <c r="AM86" s="84"/>
      <c r="AN86" s="84"/>
    </row>
    <row r="87" spans="3:41" x14ac:dyDescent="0.25">
      <c r="C87" s="33" t="s">
        <v>759</v>
      </c>
      <c r="G87" s="33" t="s">
        <v>761</v>
      </c>
      <c r="H87" s="1305">
        <f>1/H86</f>
        <v>7.1428571428571434E-5</v>
      </c>
      <c r="I87" s="260" t="s">
        <v>762</v>
      </c>
      <c r="AF87" s="22" t="s">
        <v>515</v>
      </c>
      <c r="AG87" s="1216">
        <f>(AG84-AG69)/AG69</f>
        <v>-1.8254561635068814E-7</v>
      </c>
      <c r="AH87" s="1220" t="e">
        <f>(AH84-AH69)/AH69</f>
        <v>#VALUE!</v>
      </c>
      <c r="AI87" s="1220" t="e">
        <f>(AI84-AI69)/AI69</f>
        <v>#VALUE!</v>
      </c>
      <c r="AJ87" s="1220" t="e">
        <f>(AJ84-AJ69)/AJ69</f>
        <v>#VALUE!</v>
      </c>
      <c r="AK87" s="1220" t="e">
        <f>(AK84-AK69)/AK69</f>
        <v>#VALUE!</v>
      </c>
      <c r="AL87" s="1212"/>
      <c r="AM87" s="1212"/>
      <c r="AN87" s="1218">
        <f>(AN84-AN69)/AN69</f>
        <v>1.8254564965081657E-7</v>
      </c>
      <c r="AO87" s="1226">
        <f>(AO84-AO69)/AO69</f>
        <v>-5.2747478195033226E-3</v>
      </c>
    </row>
    <row r="88" spans="3:41" x14ac:dyDescent="0.25">
      <c r="AF88" s="24" t="s">
        <v>516</v>
      </c>
      <c r="AG88" s="1217">
        <f>(AG69-AG84)/AG84</f>
        <v>1.8254564967359628E-7</v>
      </c>
      <c r="AH88" s="1221" t="e">
        <f>(AH69-AH84)/AH84</f>
        <v>#VALUE!</v>
      </c>
      <c r="AI88" s="1221" t="e">
        <f>(AI69-AI84)/AI84</f>
        <v>#VALUE!</v>
      </c>
      <c r="AJ88" s="1221" t="e">
        <f>(AJ69-AJ84)/AJ84</f>
        <v>#VALUE!</v>
      </c>
      <c r="AK88" s="1221" t="e">
        <f>(AK69-AK84)/AK84</f>
        <v>#VALUE!</v>
      </c>
      <c r="AL88" s="1214"/>
      <c r="AM88" s="1214"/>
      <c r="AN88" s="1219">
        <f>(AN69-AN84)/AN84</f>
        <v>-1.8254561632790843E-7</v>
      </c>
      <c r="AO88" s="1227">
        <f>(AO69-AO84)/AO84</f>
        <v>5.3027183214066024E-3</v>
      </c>
    </row>
    <row r="89" spans="3:41" x14ac:dyDescent="0.25">
      <c r="C89" s="33" t="s">
        <v>768</v>
      </c>
    </row>
    <row r="90" spans="3:41" x14ac:dyDescent="0.25">
      <c r="C90" s="33" t="s">
        <v>764</v>
      </c>
    </row>
    <row r="91" spans="3:41" x14ac:dyDescent="0.25">
      <c r="E91" s="1243" t="s">
        <v>361</v>
      </c>
      <c r="F91" s="1247" t="s">
        <v>538</v>
      </c>
      <c r="G91" s="1244" t="s">
        <v>12</v>
      </c>
    </row>
    <row r="92" spans="3:41" x14ac:dyDescent="0.25">
      <c r="E92" s="1302">
        <v>0</v>
      </c>
      <c r="F92" s="1245">
        <f>E79/H86</f>
        <v>2.8571428571428571E-3</v>
      </c>
      <c r="G92" s="1078">
        <v>0</v>
      </c>
      <c r="K92" s="1596">
        <f>H87</f>
        <v>7.1428571428571434E-5</v>
      </c>
      <c r="L92" s="1596"/>
      <c r="M92" s="1596"/>
      <c r="N92" s="1596"/>
      <c r="O92" s="1596"/>
      <c r="P92" s="1596"/>
      <c r="Q92" s="1596"/>
      <c r="R92" s="1596"/>
      <c r="S92" s="1596"/>
    </row>
    <row r="93" spans="3:41" x14ac:dyDescent="0.25">
      <c r="E93" s="960"/>
      <c r="F93" s="1242"/>
      <c r="G93" s="1242"/>
      <c r="K93" s="1307"/>
      <c r="L93" s="1307"/>
      <c r="M93" s="1307"/>
      <c r="N93" s="1307"/>
      <c r="O93" s="1307"/>
      <c r="P93" s="1307"/>
      <c r="Q93" s="1307"/>
      <c r="R93" s="1597">
        <f>1-K92</f>
        <v>0.99992857142857139</v>
      </c>
      <c r="S93" s="1597"/>
      <c r="T93" s="1597"/>
    </row>
    <row r="94" spans="3:41" x14ac:dyDescent="0.25">
      <c r="E94" s="1243" t="s">
        <v>361</v>
      </c>
      <c r="F94" s="1247" t="s">
        <v>538</v>
      </c>
      <c r="G94" s="1244" t="s">
        <v>12</v>
      </c>
      <c r="K94" s="1307"/>
      <c r="L94" s="1307"/>
      <c r="M94" s="1307"/>
      <c r="N94" s="1307"/>
      <c r="O94" s="1307"/>
      <c r="P94" s="1307"/>
      <c r="Q94" s="1307"/>
      <c r="R94" s="1307"/>
      <c r="S94" s="1307"/>
    </row>
    <row r="95" spans="3:41" x14ac:dyDescent="0.25">
      <c r="E95" s="1302">
        <v>0</v>
      </c>
      <c r="F95" s="1245">
        <v>0</v>
      </c>
      <c r="G95" s="1078">
        <f>F92/H87</f>
        <v>40</v>
      </c>
      <c r="K95" s="1307"/>
      <c r="L95" s="1307"/>
      <c r="M95" s="1307"/>
      <c r="N95" s="1307"/>
      <c r="O95" s="1307"/>
      <c r="P95" s="1307"/>
      <c r="Q95" s="1307"/>
      <c r="R95" s="1307"/>
      <c r="S95" s="1307"/>
    </row>
    <row r="96" spans="3:41" x14ac:dyDescent="0.25">
      <c r="C96" s="33" t="s">
        <v>779</v>
      </c>
      <c r="E96" s="960"/>
      <c r="F96" s="1242"/>
      <c r="G96" s="1242"/>
    </row>
    <row r="97" spans="3:20" x14ac:dyDescent="0.25">
      <c r="C97" s="257"/>
      <c r="D97" s="257"/>
      <c r="E97" s="981"/>
      <c r="F97" s="1245"/>
      <c r="G97" s="1245"/>
      <c r="H97" s="257"/>
      <c r="I97" s="257"/>
    </row>
    <row r="98" spans="3:20" x14ac:dyDescent="0.25">
      <c r="E98" s="960"/>
      <c r="F98" s="1242"/>
      <c r="G98" s="1242"/>
    </row>
    <row r="99" spans="3:20" x14ac:dyDescent="0.25">
      <c r="C99" s="33" t="s">
        <v>773</v>
      </c>
    </row>
    <row r="101" spans="3:20" x14ac:dyDescent="0.25">
      <c r="F101" s="33" t="s">
        <v>765</v>
      </c>
      <c r="G101" s="33" t="s">
        <v>760</v>
      </c>
      <c r="H101" s="1304">
        <v>9000</v>
      </c>
      <c r="I101" s="259" t="s">
        <v>763</v>
      </c>
    </row>
    <row r="102" spans="3:20" x14ac:dyDescent="0.25">
      <c r="F102" s="33" t="s">
        <v>766</v>
      </c>
      <c r="G102" s="33" t="s">
        <v>761</v>
      </c>
      <c r="H102" s="1305">
        <f>1/H101</f>
        <v>1.1111111111111112E-4</v>
      </c>
      <c r="I102" s="260" t="s">
        <v>762</v>
      </c>
    </row>
    <row r="104" spans="3:20" x14ac:dyDescent="0.25">
      <c r="C104" s="33" t="s">
        <v>774</v>
      </c>
    </row>
    <row r="105" spans="3:20" x14ac:dyDescent="0.25">
      <c r="E105" s="1243" t="s">
        <v>361</v>
      </c>
      <c r="F105" s="1247" t="s">
        <v>538</v>
      </c>
      <c r="G105" s="1244" t="s">
        <v>12</v>
      </c>
      <c r="K105" s="1597">
        <f>1/H101</f>
        <v>1.1111111111111112E-4</v>
      </c>
      <c r="L105" s="1597"/>
      <c r="M105" s="1597"/>
      <c r="N105" s="1597"/>
      <c r="O105" s="1597"/>
      <c r="P105" s="1597"/>
      <c r="Q105" s="1597"/>
      <c r="R105" s="1597"/>
      <c r="S105" s="1597"/>
    </row>
    <row r="106" spans="3:20" x14ac:dyDescent="0.25">
      <c r="E106" s="1302">
        <v>0</v>
      </c>
      <c r="F106" s="1245">
        <f>G95*H102</f>
        <v>4.4444444444444444E-3</v>
      </c>
      <c r="G106" s="1078">
        <v>0</v>
      </c>
      <c r="R106" s="1597">
        <f>1-K105</f>
        <v>0.99988888888888894</v>
      </c>
      <c r="S106" s="1597"/>
      <c r="T106" s="1597"/>
    </row>
    <row r="107" spans="3:20" x14ac:dyDescent="0.25">
      <c r="E107" s="1292"/>
      <c r="F107" s="84"/>
      <c r="G107" s="84"/>
    </row>
    <row r="108" spans="3:20" x14ac:dyDescent="0.25">
      <c r="C108" s="33" t="s">
        <v>780</v>
      </c>
      <c r="E108" s="1292"/>
      <c r="F108" s="84"/>
      <c r="G108" s="84"/>
    </row>
    <row r="109" spans="3:20" x14ac:dyDescent="0.25">
      <c r="C109" s="33" t="s">
        <v>781</v>
      </c>
      <c r="E109" s="1292"/>
      <c r="F109" s="84"/>
      <c r="G109" s="84"/>
    </row>
    <row r="110" spans="3:20" x14ac:dyDescent="0.25">
      <c r="E110" s="1243" t="s">
        <v>361</v>
      </c>
      <c r="F110" s="1247" t="s">
        <v>538</v>
      </c>
      <c r="G110" s="1244" t="s">
        <v>12</v>
      </c>
    </row>
    <row r="111" spans="3:20" x14ac:dyDescent="0.25">
      <c r="E111" s="1303">
        <f>F106*H101</f>
        <v>40</v>
      </c>
      <c r="F111" s="1245">
        <f>G103*H107</f>
        <v>0</v>
      </c>
      <c r="G111" s="1078">
        <v>0</v>
      </c>
    </row>
    <row r="113" spans="3:11" x14ac:dyDescent="0.25">
      <c r="C113" s="33" t="s">
        <v>782</v>
      </c>
      <c r="E113" s="1291">
        <v>40</v>
      </c>
    </row>
    <row r="122" spans="3:11" x14ac:dyDescent="0.25">
      <c r="C122" s="33" t="s">
        <v>778</v>
      </c>
      <c r="D122"/>
      <c r="E122"/>
      <c r="F122"/>
      <c r="G122"/>
      <c r="H122"/>
      <c r="I122"/>
      <c r="J122"/>
      <c r="K122"/>
    </row>
    <row r="123" spans="3:11" x14ac:dyDescent="0.25">
      <c r="C123" s="33" t="s">
        <v>767</v>
      </c>
      <c r="D123"/>
      <c r="E123"/>
      <c r="F123"/>
      <c r="G123"/>
      <c r="H123"/>
      <c r="I123"/>
      <c r="J123"/>
      <c r="K123"/>
    </row>
  </sheetData>
  <mergeCells count="15">
    <mergeCell ref="K92:S92"/>
    <mergeCell ref="R93:T93"/>
    <mergeCell ref="K105:S105"/>
    <mergeCell ref="R106:T106"/>
    <mergeCell ref="AH67:AI67"/>
    <mergeCell ref="AJ67:AK67"/>
    <mergeCell ref="AM67:AN67"/>
    <mergeCell ref="AD30:AE31"/>
    <mergeCell ref="AL43:AM43"/>
    <mergeCell ref="B5:B11"/>
    <mergeCell ref="L19:M19"/>
    <mergeCell ref="AH43:AI43"/>
    <mergeCell ref="AJ43:AK43"/>
    <mergeCell ref="B13:B16"/>
    <mergeCell ref="X13:AC14"/>
  </mergeCells>
  <hyperlinks>
    <hyperlink ref="D9" r:id="rId1" xr:uid="{3C04B1E7-870B-4B99-B3A4-DB94DEAD279F}"/>
    <hyperlink ref="D10" r:id="rId2" xr:uid="{F9170ED2-6393-4F7F-9F75-E6863A912D32}"/>
    <hyperlink ref="D11" r:id="rId3" xr:uid="{755ED5AF-CF97-4821-904A-3CEFAC321384}"/>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2:AJ90"/>
  <sheetViews>
    <sheetView zoomScale="85" zoomScaleNormal="85" workbookViewId="0">
      <selection activeCell="L20" sqref="L20"/>
    </sheetView>
  </sheetViews>
  <sheetFormatPr defaultRowHeight="15" x14ac:dyDescent="0.25"/>
  <cols>
    <col min="3" max="3" width="13.28515625" customWidth="1"/>
    <col min="4" max="4" width="10.28515625" customWidth="1"/>
    <col min="5" max="21" width="11.42578125" style="33" customWidth="1"/>
    <col min="22" max="23" width="12" style="33" customWidth="1"/>
    <col min="24" max="24" width="32.140625" customWidth="1"/>
    <col min="25" max="25" width="13.5703125" customWidth="1"/>
    <col min="26" max="26" width="22.140625" customWidth="1"/>
    <col min="27" max="27" width="18.140625" hidden="1" customWidth="1"/>
    <col min="28" max="28" width="61.140625" hidden="1" customWidth="1"/>
    <col min="29" max="29" width="62.140625" hidden="1" customWidth="1"/>
    <col min="30" max="30" width="156" hidden="1" customWidth="1"/>
    <col min="31" max="31" width="0" hidden="1" customWidth="1"/>
    <col min="32" max="32" width="12.140625" hidden="1" customWidth="1"/>
    <col min="33" max="33" width="10.5703125" hidden="1" customWidth="1"/>
    <col min="34" max="35" width="0" hidden="1" customWidth="1"/>
    <col min="36" max="36" width="11.140625" hidden="1" customWidth="1"/>
    <col min="37" max="45" width="0" hidden="1" customWidth="1"/>
  </cols>
  <sheetData>
    <row r="2" spans="2:13" ht="31.5" x14ac:dyDescent="0.5">
      <c r="B2" s="186" t="s">
        <v>861</v>
      </c>
      <c r="D2" s="139"/>
    </row>
    <row r="3" spans="2:13" ht="21" x14ac:dyDescent="0.35">
      <c r="B3" t="s">
        <v>862</v>
      </c>
      <c r="D3" s="139"/>
    </row>
    <row r="4" spans="2:13" ht="21" x14ac:dyDescent="0.35">
      <c r="B4" t="s">
        <v>863</v>
      </c>
      <c r="D4" s="139"/>
    </row>
    <row r="5" spans="2:13" ht="21" x14ac:dyDescent="0.35">
      <c r="D5" s="139"/>
    </row>
    <row r="6" spans="2:13" x14ac:dyDescent="0.25">
      <c r="C6" s="1564" t="s">
        <v>159</v>
      </c>
      <c r="D6" s="150" t="s">
        <v>101</v>
      </c>
      <c r="E6" s="150" t="s">
        <v>786</v>
      </c>
      <c r="F6" s="150"/>
      <c r="G6" s="264"/>
      <c r="H6" s="264"/>
      <c r="I6" s="264"/>
      <c r="J6" s="264"/>
      <c r="K6" s="264"/>
      <c r="L6" s="264"/>
      <c r="M6" s="259"/>
    </row>
    <row r="7" spans="2:13" x14ac:dyDescent="0.25">
      <c r="C7" s="1565"/>
      <c r="D7" s="17" t="s">
        <v>145</v>
      </c>
      <c r="E7" s="18">
        <v>2</v>
      </c>
      <c r="F7" s="7" t="s">
        <v>146</v>
      </c>
      <c r="G7" s="17"/>
      <c r="H7" s="17"/>
      <c r="I7" s="17"/>
      <c r="J7" s="17"/>
      <c r="K7" s="17"/>
      <c r="L7" s="17"/>
      <c r="M7" s="239"/>
    </row>
    <row r="8" spans="2:13" x14ac:dyDescent="0.25">
      <c r="C8" s="1565"/>
      <c r="D8" s="17" t="s">
        <v>148</v>
      </c>
      <c r="E8" s="18">
        <v>50</v>
      </c>
      <c r="F8" s="7" t="s">
        <v>147</v>
      </c>
      <c r="G8" s="17"/>
      <c r="H8" s="17"/>
      <c r="I8" s="17"/>
      <c r="J8" s="17"/>
      <c r="K8" s="17"/>
      <c r="L8" s="17"/>
      <c r="M8" s="239"/>
    </row>
    <row r="9" spans="2:13" x14ac:dyDescent="0.25">
      <c r="C9" s="1565"/>
      <c r="D9" s="140" t="s">
        <v>149</v>
      </c>
      <c r="E9" s="18">
        <f>E8-E7</f>
        <v>48</v>
      </c>
      <c r="F9" s="7" t="s">
        <v>150</v>
      </c>
      <c r="G9" s="17"/>
      <c r="H9" s="17"/>
      <c r="I9" s="17"/>
      <c r="J9" s="17"/>
      <c r="K9" s="17"/>
      <c r="L9" s="17"/>
      <c r="M9" s="239"/>
    </row>
    <row r="10" spans="2:13" x14ac:dyDescent="0.25">
      <c r="C10" s="1565"/>
      <c r="D10" s="140" t="s">
        <v>153</v>
      </c>
      <c r="E10" s="190" t="s">
        <v>166</v>
      </c>
      <c r="F10" s="8" t="s">
        <v>156</v>
      </c>
      <c r="G10" s="17"/>
      <c r="H10" s="17"/>
      <c r="I10" s="17"/>
      <c r="J10" s="17"/>
      <c r="K10" s="17"/>
      <c r="L10" s="17"/>
      <c r="M10" s="239"/>
    </row>
    <row r="11" spans="2:13" x14ac:dyDescent="0.25">
      <c r="C11" s="1565"/>
      <c r="D11" s="140" t="s">
        <v>154</v>
      </c>
      <c r="E11" s="190"/>
      <c r="F11" s="8" t="s">
        <v>157</v>
      </c>
      <c r="G11" s="17"/>
      <c r="H11" s="17"/>
      <c r="I11" s="17"/>
      <c r="J11" s="17"/>
      <c r="K11" s="17"/>
      <c r="L11" s="17"/>
      <c r="M11" s="239"/>
    </row>
    <row r="12" spans="2:13" x14ac:dyDescent="0.25">
      <c r="C12" s="1566"/>
      <c r="D12" s="265" t="s">
        <v>155</v>
      </c>
      <c r="E12" s="266"/>
      <c r="F12" s="267" t="s">
        <v>158</v>
      </c>
      <c r="G12" s="257"/>
      <c r="H12" s="257"/>
      <c r="I12" s="257"/>
      <c r="J12" s="257"/>
      <c r="K12" s="257"/>
      <c r="L12" s="257"/>
      <c r="M12" s="260"/>
    </row>
    <row r="13" spans="2:13" x14ac:dyDescent="0.25">
      <c r="C13" s="256"/>
      <c r="D13" s="140"/>
      <c r="E13" s="190"/>
      <c r="F13" s="8"/>
      <c r="G13" s="17"/>
      <c r="H13" s="17"/>
      <c r="I13" s="17"/>
      <c r="J13" s="17"/>
      <c r="K13" s="17"/>
      <c r="L13" s="17"/>
    </row>
    <row r="14" spans="2:13" x14ac:dyDescent="0.25">
      <c r="C14" s="1564" t="s">
        <v>163</v>
      </c>
      <c r="D14" s="150" t="s">
        <v>4</v>
      </c>
      <c r="E14" s="264" t="s">
        <v>783</v>
      </c>
      <c r="F14" s="150"/>
      <c r="G14" s="264"/>
      <c r="H14" s="271"/>
      <c r="I14" s="264"/>
      <c r="J14" s="259"/>
      <c r="K14" s="17"/>
      <c r="L14" s="17"/>
    </row>
    <row r="15" spans="2:13" x14ac:dyDescent="0.25">
      <c r="C15" s="1565"/>
      <c r="D15" s="17" t="s">
        <v>130</v>
      </c>
      <c r="E15" s="17" t="s">
        <v>3</v>
      </c>
      <c r="F15" s="7"/>
      <c r="G15" s="17"/>
      <c r="H15" s="189"/>
      <c r="I15" s="17"/>
      <c r="J15" s="239"/>
      <c r="K15" s="17"/>
      <c r="L15" s="17"/>
    </row>
    <row r="16" spans="2:13" x14ac:dyDescent="0.25">
      <c r="C16" s="1566"/>
      <c r="D16" s="257" t="s">
        <v>131</v>
      </c>
      <c r="E16" s="257" t="s">
        <v>2</v>
      </c>
      <c r="F16" s="245"/>
      <c r="G16" s="257"/>
      <c r="H16" s="272"/>
      <c r="I16" s="257"/>
      <c r="J16" s="260"/>
      <c r="K16" s="17"/>
      <c r="L16" s="17"/>
    </row>
    <row r="17" spans="2:36" ht="15.75" thickBot="1" x14ac:dyDescent="0.3">
      <c r="C17" s="256"/>
      <c r="D17" s="140"/>
      <c r="E17" s="190"/>
      <c r="F17" s="8"/>
      <c r="G17" s="17"/>
      <c r="H17" s="17"/>
      <c r="I17" s="17"/>
      <c r="J17" s="17"/>
      <c r="K17" s="17"/>
      <c r="L17" s="17"/>
    </row>
    <row r="18" spans="2:36" x14ac:dyDescent="0.25">
      <c r="C18" s="1567" t="s">
        <v>148</v>
      </c>
      <c r="D18" s="273" t="s">
        <v>160</v>
      </c>
      <c r="E18" s="274" t="s">
        <v>164</v>
      </c>
      <c r="F18" s="251" t="s">
        <v>162</v>
      </c>
      <c r="G18" s="251"/>
      <c r="H18" s="251"/>
      <c r="I18" s="249"/>
    </row>
    <row r="19" spans="2:36" x14ac:dyDescent="0.25">
      <c r="C19" s="1568"/>
      <c r="D19" s="17" t="s">
        <v>135</v>
      </c>
      <c r="E19" s="254">
        <v>4</v>
      </c>
      <c r="F19" s="17" t="s">
        <v>136</v>
      </c>
      <c r="G19" s="17"/>
      <c r="H19" s="17"/>
      <c r="I19" s="195"/>
    </row>
    <row r="20" spans="2:36" x14ac:dyDescent="0.25">
      <c r="C20" s="1568"/>
      <c r="D20" s="17" t="s">
        <v>5</v>
      </c>
      <c r="E20" s="18">
        <v>166</v>
      </c>
      <c r="F20" s="17" t="s">
        <v>139</v>
      </c>
      <c r="G20" s="17"/>
      <c r="H20" s="17"/>
      <c r="I20" s="195"/>
    </row>
    <row r="21" spans="2:36" ht="15.75" thickBot="1" x14ac:dyDescent="0.3">
      <c r="C21" s="1569"/>
      <c r="D21" s="166" t="s">
        <v>137</v>
      </c>
      <c r="E21" s="275">
        <f>E20*LN(E19)</f>
        <v>230.12486394590184</v>
      </c>
      <c r="F21" s="166" t="s">
        <v>138</v>
      </c>
      <c r="G21" s="252"/>
      <c r="H21" s="252"/>
      <c r="I21" s="250"/>
      <c r="S21" s="33" t="s">
        <v>621</v>
      </c>
    </row>
    <row r="22" spans="2:36" x14ac:dyDescent="0.25">
      <c r="B22" s="7"/>
      <c r="N22" s="33" t="s">
        <v>809</v>
      </c>
    </row>
    <row r="23" spans="2:36" s="7" customFormat="1" ht="15.75" thickBot="1" x14ac:dyDescent="0.3">
      <c r="C23"/>
      <c r="D23"/>
      <c r="E23" s="33"/>
      <c r="F23" s="33"/>
      <c r="G23" s="33"/>
      <c r="H23" s="33"/>
      <c r="I23" s="33"/>
      <c r="J23" s="33"/>
      <c r="K23" s="33"/>
      <c r="L23" s="33"/>
      <c r="M23" s="33"/>
      <c r="N23" s="33" t="s">
        <v>810</v>
      </c>
      <c r="O23" s="33"/>
      <c r="P23" s="33"/>
      <c r="Q23" s="33"/>
      <c r="R23" s="33"/>
      <c r="S23" s="33"/>
      <c r="T23" s="33"/>
      <c r="U23" s="33"/>
      <c r="V23" s="33"/>
      <c r="W23" s="33"/>
      <c r="X23"/>
      <c r="Y23"/>
      <c r="Z23"/>
      <c r="AA23"/>
      <c r="AB23"/>
      <c r="AC23"/>
      <c r="AD23"/>
      <c r="AE23" t="s">
        <v>626</v>
      </c>
      <c r="AF23" s="8" t="s">
        <v>627</v>
      </c>
      <c r="AG23" s="7" t="s">
        <v>628</v>
      </c>
      <c r="AH23" s="8" t="s">
        <v>629</v>
      </c>
    </row>
    <row r="24" spans="2:36" s="7" customFormat="1" ht="24.75" customHeight="1" thickBot="1" x14ac:dyDescent="0.35">
      <c r="D24"/>
      <c r="E24" s="61" t="s">
        <v>12</v>
      </c>
      <c r="F24" s="62"/>
      <c r="G24" s="62"/>
      <c r="H24" s="63"/>
      <c r="I24" s="62" t="s">
        <v>13</v>
      </c>
      <c r="J24" s="62"/>
      <c r="K24" s="62"/>
      <c r="L24" s="62"/>
      <c r="M24" s="61" t="s">
        <v>784</v>
      </c>
      <c r="N24" s="62"/>
      <c r="O24" s="62"/>
      <c r="P24" s="237"/>
      <c r="Q24" s="1121" t="s">
        <v>231</v>
      </c>
      <c r="R24" s="1122"/>
      <c r="S24" s="62" t="s">
        <v>785</v>
      </c>
      <c r="T24" s="62"/>
      <c r="U24" s="61" t="s">
        <v>36</v>
      </c>
      <c r="V24" s="63" t="s">
        <v>35</v>
      </c>
      <c r="W24" s="193"/>
      <c r="X24" s="1570" t="s">
        <v>98</v>
      </c>
      <c r="Y24" s="1571"/>
      <c r="Z24" s="183" t="s">
        <v>99</v>
      </c>
      <c r="AB24" s="7" t="s">
        <v>100</v>
      </c>
      <c r="AC24" s="20"/>
      <c r="AD24" s="184" t="s">
        <v>100</v>
      </c>
      <c r="AE24" s="1589" t="s">
        <v>618</v>
      </c>
      <c r="AF24" s="1589"/>
      <c r="AG24" s="1589" t="s">
        <v>617</v>
      </c>
      <c r="AH24" s="1589"/>
    </row>
    <row r="25" spans="2:36" s="7" customFormat="1" ht="16.5" thickTop="1" thickBot="1" x14ac:dyDescent="0.3">
      <c r="C25" s="32"/>
      <c r="D25" s="115" t="s">
        <v>45</v>
      </c>
      <c r="E25" s="172" t="str">
        <f>"i="&amp;$E$7&amp;", 0"</f>
        <v>i=2, 0</v>
      </c>
      <c r="F25" s="176" t="str">
        <f>"i="&amp;$E$7&amp;", 1"</f>
        <v>i=2, 1</v>
      </c>
      <c r="G25" s="173" t="str">
        <f>"i="&amp;$E$8&amp;", 0"</f>
        <v>i=50, 0</v>
      </c>
      <c r="H25" s="177" t="str">
        <f>"i="&amp;$E$8&amp;", 1"</f>
        <v>i=50, 1</v>
      </c>
      <c r="I25" s="174" t="str">
        <f>"i="&amp;$E$7&amp;", 0"</f>
        <v>i=2, 0</v>
      </c>
      <c r="J25" s="176" t="str">
        <f>"i="&amp;$E$7&amp;", 1"</f>
        <v>i=2, 1</v>
      </c>
      <c r="K25" s="173" t="str">
        <f>"i="&amp;$E$8&amp;", 0"</f>
        <v>i=50, 0</v>
      </c>
      <c r="L25" s="236" t="str">
        <f>"i="&amp;$E$8&amp;", 1"</f>
        <v>i=50, 1</v>
      </c>
      <c r="M25" s="1116" t="s">
        <v>630</v>
      </c>
      <c r="N25" s="176" t="s">
        <v>631</v>
      </c>
      <c r="O25" s="1099" t="s">
        <v>634</v>
      </c>
      <c r="P25" s="1112" t="s">
        <v>635</v>
      </c>
      <c r="Q25" s="1123" t="s">
        <v>632</v>
      </c>
      <c r="R25" s="192" t="s">
        <v>633</v>
      </c>
      <c r="S25" s="191" t="s">
        <v>632</v>
      </c>
      <c r="T25" s="192" t="s">
        <v>633</v>
      </c>
      <c r="U25" s="42">
        <v>0</v>
      </c>
      <c r="V25" s="43"/>
      <c r="W25" s="140"/>
      <c r="X25" s="180" t="str">
        <f>E25</f>
        <v>i=2, 0</v>
      </c>
      <c r="Y25" s="181" t="str">
        <f>H25</f>
        <v>i=50, 1</v>
      </c>
      <c r="AD25"/>
      <c r="AE25" s="1077" t="s">
        <v>3</v>
      </c>
      <c r="AF25" s="1077" t="s">
        <v>2</v>
      </c>
      <c r="AG25" s="1077" t="s">
        <v>620</v>
      </c>
      <c r="AH25" s="1077" t="s">
        <v>619</v>
      </c>
    </row>
    <row r="26" spans="2:36" s="7" customFormat="1" ht="18" customHeight="1" thickTop="1" x14ac:dyDescent="0.25">
      <c r="D26" s="1308">
        <v>43101</v>
      </c>
      <c r="E26" s="215">
        <v>0</v>
      </c>
      <c r="F26" s="214">
        <v>0</v>
      </c>
      <c r="G26" s="213">
        <v>0</v>
      </c>
      <c r="H26" s="212">
        <v>0</v>
      </c>
      <c r="I26" s="211">
        <f t="shared" ref="I26:I50" si="0">EXP(E26/$E$20)/(EXP($E26/$E$20)+EXP($F26/$E$20)+EXP($G26/$E$20)+EXP($H26/$E$20))</f>
        <v>0.25</v>
      </c>
      <c r="J26" s="210">
        <f t="shared" ref="J26:J50" si="1">EXP(F26/$E$20)/(EXP($E26/$E$20)+EXP($F26/$E$20)+EXP($G26/$E$20)+EXP($H26/$E$20))</f>
        <v>0.25</v>
      </c>
      <c r="K26" s="209">
        <f t="shared" ref="K26:K50" si="2">EXP(G26/$E$20)/(EXP($E26/$E$20)+EXP($F26/$E$20)+EXP($G26/$E$20)+EXP($H26/$E$20))</f>
        <v>0.25</v>
      </c>
      <c r="L26" s="208">
        <f t="shared" ref="L26:L50" si="3">EXP(H26/$E$20)/(EXP($E26/$E$20)+EXP($F26/$E$20)+EXP($G26/$E$20)+EXP($H26/$E$20))</f>
        <v>0.25</v>
      </c>
      <c r="M26" s="1117">
        <f>SUM(I26,J26)</f>
        <v>0.5</v>
      </c>
      <c r="N26" s="235">
        <f>SUM(K26:L26)</f>
        <v>0.5</v>
      </c>
      <c r="O26" s="1100">
        <f>SUM(I26,K26)</f>
        <v>0.5</v>
      </c>
      <c r="P26" s="1113">
        <f>SUM(J26,L26)</f>
        <v>0.5</v>
      </c>
      <c r="Q26" s="1108">
        <f>K26/O26</f>
        <v>0.5</v>
      </c>
      <c r="R26" s="1124">
        <f>L26/P26</f>
        <v>0.5</v>
      </c>
      <c r="S26" s="1108">
        <f>(Q26*$E$9)+$E$7</f>
        <v>26</v>
      </c>
      <c r="T26" s="1125">
        <f t="shared" ref="T26:T50" si="4">(R26*$E$9)+$E$7</f>
        <v>26</v>
      </c>
      <c r="U26" s="81">
        <f>$E$20*LN(EXP($E26/$E$20) + EXP($F26/$E$20) + EXP($G26/$E$20) +EXP($H26/$E$20) )</f>
        <v>230.12486394590184</v>
      </c>
      <c r="V26" s="46">
        <f>(U26-U25)</f>
        <v>230.12486394590184</v>
      </c>
      <c r="W26" s="194"/>
      <c r="X26" s="114"/>
      <c r="Y26" s="100"/>
      <c r="AD26"/>
      <c r="AE26" s="187">
        <f>SUM(I26,K26)</f>
        <v>0.5</v>
      </c>
      <c r="AF26" s="187">
        <f>SUM(J26,L26)</f>
        <v>0.5</v>
      </c>
      <c r="AG26" s="187">
        <f>SUM(I26:J26)</f>
        <v>0.5</v>
      </c>
      <c r="AH26" s="187">
        <f>SUM(K26:L26)</f>
        <v>0.5</v>
      </c>
      <c r="AJ26" s="187"/>
    </row>
    <row r="27" spans="2:36" s="7" customFormat="1" ht="18.75" x14ac:dyDescent="0.3">
      <c r="D27" s="1308">
        <v>43102</v>
      </c>
      <c r="E27" s="233">
        <v>23.397544976303106</v>
      </c>
      <c r="F27" s="232">
        <v>26.692999397169718</v>
      </c>
      <c r="G27" s="231">
        <v>0</v>
      </c>
      <c r="H27" s="230">
        <v>56.507625494558695</v>
      </c>
      <c r="I27" s="229">
        <f t="shared" si="0"/>
        <v>0.24334894653594114</v>
      </c>
      <c r="J27" s="228">
        <f t="shared" si="1"/>
        <v>0.2482282143876261</v>
      </c>
      <c r="K27" s="227">
        <f t="shared" si="2"/>
        <v>0.21135672402273042</v>
      </c>
      <c r="L27" s="226">
        <f t="shared" si="3"/>
        <v>0.2970661150537024</v>
      </c>
      <c r="M27" s="1118">
        <f t="shared" ref="M27:M51" si="5">SUM(I27,J27)</f>
        <v>0.49157716092356724</v>
      </c>
      <c r="N27" s="217">
        <f t="shared" ref="N27:N51" si="6">SUM(K27:L27)</f>
        <v>0.50842283907643282</v>
      </c>
      <c r="O27" s="1101">
        <f t="shared" ref="O27:O51" si="7">SUM(I27,K27)</f>
        <v>0.45470567055867156</v>
      </c>
      <c r="P27" s="1114">
        <f t="shared" ref="P27:P51" si="8">SUM(J27,L27)</f>
        <v>0.5452943294413285</v>
      </c>
      <c r="Q27" s="1109">
        <f t="shared" ref="Q27:Q50" si="9">K27/O27</f>
        <v>0.46482095497742126</v>
      </c>
      <c r="R27" s="1126">
        <f t="shared" ref="R27:R50" si="10">L27/P27</f>
        <v>0.5447812291722457</v>
      </c>
      <c r="S27" s="1109">
        <f t="shared" ref="S27:S50" si="11">(Q27*$E$9)+$E$7</f>
        <v>24.311405838916222</v>
      </c>
      <c r="T27" s="1105">
        <f t="shared" si="4"/>
        <v>28.149499000267795</v>
      </c>
      <c r="U27" s="82">
        <f t="shared" ref="U27:U51" si="12">$E$20*LN(EXP($E27/$E$20) + EXP($F27/$E$20) + EXP($G27/$E$20) +EXP($H27/$E$20) )</f>
        <v>257.99851768180451</v>
      </c>
      <c r="V27" s="49">
        <f>(U27-U26)</f>
        <v>27.873653735902678</v>
      </c>
      <c r="W27" s="194"/>
      <c r="X27" s="114">
        <f>E27-E26</f>
        <v>23.397544976303106</v>
      </c>
      <c r="Y27" s="100">
        <f>H27-H26</f>
        <v>56.507625494558695</v>
      </c>
      <c r="Z27" s="182">
        <f t="shared" ref="Z27:Z50" si="13">V27</f>
        <v>27.873653735902678</v>
      </c>
      <c r="AB27" s="7" t="str">
        <f t="shared" ref="AB27:AB35" si="14">IF(X27&gt;0,"Bought ",IF(X27&lt;0,"Sold ",""))&amp;IF(X27&lt;0,X27*-1,IF(X27&gt;0,X27,""))&amp;IF(X27&lt;&gt;0," Shares of State 1 at a cost of "&amp;ROUND($Z27,5),"")</f>
        <v>Bought 23.3975449763031 Shares of State 1 at a cost of 27.87365</v>
      </c>
      <c r="AC27" s="7" t="str">
        <f t="shared" ref="AC27:AC35" si="15">IF(Y27&gt;0,"Bought ",IF(Y27&lt;0,"Sold ",""))&amp;IF(Y27&lt;0,Y27*-1,IF(Y27&gt;0,Y27,""))&amp;IF(Y27&lt;&gt;0," Shares of State 2 at a cost of "&amp;ROUND($Z27,5),"")</f>
        <v>Bought 56.5076254945587 Shares of State 2 at a cost of 27.87365</v>
      </c>
      <c r="AD27" s="185" t="str">
        <f t="shared" ref="AD27:AD35" si="16">AB27&amp;AC27</f>
        <v>Bought 23.3975449763031 Shares of State 1 at a cost of 27.87365Bought 56.5076254945587 Shares of State 2 at a cost of 27.87365</v>
      </c>
      <c r="AE27" s="187">
        <f t="shared" ref="AE27:AE50" si="17">SUM(I27,K27)</f>
        <v>0.45470567055867156</v>
      </c>
      <c r="AF27" s="187">
        <f t="shared" ref="AF27:AF50" si="18">SUM(J27,L27)</f>
        <v>0.5452943294413285</v>
      </c>
      <c r="AG27" s="187">
        <f t="shared" ref="AG27:AG50" si="19">SUM(I27:J27)</f>
        <v>0.49157716092356724</v>
      </c>
      <c r="AH27" s="187">
        <f t="shared" ref="AH27:AH50" si="20">SUM(K27:L27)</f>
        <v>0.50842283907643282</v>
      </c>
    </row>
    <row r="28" spans="2:36" s="7" customFormat="1" ht="18.75" x14ac:dyDescent="0.3">
      <c r="C28" s="21" t="s">
        <v>110</v>
      </c>
      <c r="D28" s="1308">
        <v>43103</v>
      </c>
      <c r="E28" s="233">
        <v>56.629100148813436</v>
      </c>
      <c r="F28" s="232">
        <v>106.45075353280974</v>
      </c>
      <c r="G28" s="231">
        <v>0</v>
      </c>
      <c r="H28" s="230">
        <v>103.48452164486052</v>
      </c>
      <c r="I28" s="229">
        <f t="shared" si="0"/>
        <v>0.22793994792762146</v>
      </c>
      <c r="J28" s="228">
        <f t="shared" si="1"/>
        <v>0.30772688422309236</v>
      </c>
      <c r="K28" s="227">
        <f t="shared" si="2"/>
        <v>0.16205617760461571</v>
      </c>
      <c r="L28" s="226">
        <f t="shared" si="3"/>
        <v>0.30227699024467053</v>
      </c>
      <c r="M28" s="1118">
        <f t="shared" si="5"/>
        <v>0.53566683215071387</v>
      </c>
      <c r="N28" s="217">
        <f t="shared" si="6"/>
        <v>0.46433316784928624</v>
      </c>
      <c r="O28" s="1101">
        <f t="shared" si="7"/>
        <v>0.38999612553223717</v>
      </c>
      <c r="P28" s="1114">
        <f t="shared" si="8"/>
        <v>0.61000387446776294</v>
      </c>
      <c r="Q28" s="1109">
        <f>K28/O28</f>
        <v>0.41553278864874288</v>
      </c>
      <c r="R28" s="1126">
        <f t="shared" si="10"/>
        <v>0.49553290216133711</v>
      </c>
      <c r="S28" s="1109">
        <f t="shared" si="11"/>
        <v>21.945573855139656</v>
      </c>
      <c r="T28" s="1105">
        <f t="shared" si="4"/>
        <v>25.785579303744182</v>
      </c>
      <c r="U28" s="82">
        <f t="shared" si="12"/>
        <v>302.08882993519808</v>
      </c>
      <c r="V28" s="49">
        <f>(U28-U27)</f>
        <v>44.090312253393563</v>
      </c>
      <c r="W28" s="194"/>
      <c r="X28" s="114">
        <f>E28-E27</f>
        <v>33.231555172510326</v>
      </c>
      <c r="Y28" s="100">
        <f>H28-H27</f>
        <v>46.976896150301826</v>
      </c>
      <c r="Z28" s="182">
        <f t="shared" si="13"/>
        <v>44.090312253393563</v>
      </c>
      <c r="AB28" s="7" t="str">
        <f t="shared" si="14"/>
        <v>Bought 33.2315551725103 Shares of State 1 at a cost of 44.09031</v>
      </c>
      <c r="AC28" s="7" t="str">
        <f t="shared" si="15"/>
        <v>Bought 46.9768961503018 Shares of State 2 at a cost of 44.09031</v>
      </c>
      <c r="AD28" s="185" t="str">
        <f t="shared" si="16"/>
        <v>Bought 33.2315551725103 Shares of State 1 at a cost of 44.09031Bought 46.9768961503018 Shares of State 2 at a cost of 44.09031</v>
      </c>
      <c r="AE28" s="187">
        <f t="shared" si="17"/>
        <v>0.38999612553223717</v>
      </c>
      <c r="AF28" s="187">
        <f t="shared" si="18"/>
        <v>0.61000387446776294</v>
      </c>
      <c r="AG28" s="187">
        <f t="shared" si="19"/>
        <v>0.53566683215071387</v>
      </c>
      <c r="AH28" s="187">
        <f t="shared" si="20"/>
        <v>0.46433316784928624</v>
      </c>
    </row>
    <row r="29" spans="2:36" s="7" customFormat="1" ht="18.75" x14ac:dyDescent="0.3">
      <c r="C29" s="21"/>
      <c r="D29" s="1308">
        <v>43104</v>
      </c>
      <c r="E29" s="233">
        <v>80.365453576023796</v>
      </c>
      <c r="F29" s="232">
        <v>214.55946851684183</v>
      </c>
      <c r="G29" s="231">
        <v>0</v>
      </c>
      <c r="H29" s="230">
        <v>188.85149887182058</v>
      </c>
      <c r="I29" s="229">
        <f t="shared" si="0"/>
        <v>0.17292487697672193</v>
      </c>
      <c r="J29" s="228">
        <f t="shared" si="1"/>
        <v>0.38809685836350272</v>
      </c>
      <c r="K29" s="227">
        <f t="shared" si="2"/>
        <v>0.10656211181196996</v>
      </c>
      <c r="L29" s="226">
        <f t="shared" si="3"/>
        <v>0.3324161528478054</v>
      </c>
      <c r="M29" s="1118">
        <f t="shared" si="5"/>
        <v>0.5610217353402247</v>
      </c>
      <c r="N29" s="217">
        <f t="shared" si="6"/>
        <v>0.43897826465977535</v>
      </c>
      <c r="O29" s="1101">
        <f t="shared" si="7"/>
        <v>0.27948698878869188</v>
      </c>
      <c r="P29" s="1114">
        <f t="shared" si="8"/>
        <v>0.72051301121130806</v>
      </c>
      <c r="Q29" s="1109">
        <f t="shared" si="9"/>
        <v>0.38127754094677019</v>
      </c>
      <c r="R29" s="1126">
        <f t="shared" si="10"/>
        <v>0.46136037472655195</v>
      </c>
      <c r="S29" s="1109">
        <f t="shared" si="11"/>
        <v>20.30132196544497</v>
      </c>
      <c r="T29" s="1105">
        <f t="shared" si="4"/>
        <v>24.145297986874493</v>
      </c>
      <c r="U29" s="82">
        <f t="shared" si="12"/>
        <v>371.67852421897243</v>
      </c>
      <c r="V29" s="49">
        <f>(U29-U28)</f>
        <v>69.58969428377435</v>
      </c>
      <c r="W29" s="194"/>
      <c r="X29" s="114">
        <f>E29-E28</f>
        <v>23.736353427210361</v>
      </c>
      <c r="Y29" s="100">
        <f>H29-H28</f>
        <v>85.36697722696006</v>
      </c>
      <c r="Z29" s="182">
        <f t="shared" si="13"/>
        <v>69.58969428377435</v>
      </c>
      <c r="AB29" s="7" t="str">
        <f t="shared" si="14"/>
        <v>Bought 23.7363534272104 Shares of State 1 at a cost of 69.58969</v>
      </c>
      <c r="AC29" s="7" t="str">
        <f t="shared" si="15"/>
        <v>Bought 85.3669772269601 Shares of State 2 at a cost of 69.58969</v>
      </c>
      <c r="AD29" s="185" t="str">
        <f t="shared" si="16"/>
        <v>Bought 23.7363534272104 Shares of State 1 at a cost of 69.58969Bought 85.3669772269601 Shares of State 2 at a cost of 69.58969</v>
      </c>
      <c r="AE29" s="187">
        <f t="shared" si="17"/>
        <v>0.27948698878869188</v>
      </c>
      <c r="AF29" s="187">
        <f t="shared" si="18"/>
        <v>0.72051301121130806</v>
      </c>
      <c r="AG29" s="187">
        <f t="shared" si="19"/>
        <v>0.5610217353402247</v>
      </c>
      <c r="AH29" s="187">
        <f t="shared" si="20"/>
        <v>0.43897826465977535</v>
      </c>
    </row>
    <row r="30" spans="2:36" s="7" customFormat="1" ht="18.75" x14ac:dyDescent="0.3">
      <c r="C30" s="21"/>
      <c r="D30" s="1308">
        <v>43105</v>
      </c>
      <c r="E30" s="233">
        <v>123.987040014944</v>
      </c>
      <c r="F30" s="232">
        <v>190.43408707024</v>
      </c>
      <c r="G30" s="231">
        <v>0</v>
      </c>
      <c r="H30" s="230">
        <v>124.15777302452528</v>
      </c>
      <c r="I30" s="229">
        <f t="shared" si="0"/>
        <v>0.25207297977239274</v>
      </c>
      <c r="J30" s="228">
        <f t="shared" si="1"/>
        <v>0.376155290152763</v>
      </c>
      <c r="K30" s="227">
        <f t="shared" si="2"/>
        <v>0.11943935681937996</v>
      </c>
      <c r="L30" s="226">
        <f t="shared" si="3"/>
        <v>0.25233237325546426</v>
      </c>
      <c r="M30" s="1118">
        <f t="shared" si="5"/>
        <v>0.62822826992515579</v>
      </c>
      <c r="N30" s="217">
        <f t="shared" si="6"/>
        <v>0.37177173007484421</v>
      </c>
      <c r="O30" s="1101">
        <f t="shared" si="7"/>
        <v>0.37151233659177268</v>
      </c>
      <c r="P30" s="1114">
        <f t="shared" si="8"/>
        <v>0.62848766340822726</v>
      </c>
      <c r="Q30" s="1109">
        <f t="shared" si="9"/>
        <v>0.32149499506559592</v>
      </c>
      <c r="R30" s="1126">
        <f t="shared" si="10"/>
        <v>0.40149137039077337</v>
      </c>
      <c r="S30" s="1109">
        <f t="shared" si="11"/>
        <v>17.431759763148605</v>
      </c>
      <c r="T30" s="1105">
        <f t="shared" si="4"/>
        <v>21.271585778757121</v>
      </c>
      <c r="U30" s="82">
        <f t="shared" si="12"/>
        <v>352.74112078185294</v>
      </c>
      <c r="V30" s="49">
        <f t="shared" ref="V30:V47" si="21">(U30-U29)</f>
        <v>-18.937403437119485</v>
      </c>
      <c r="W30" s="194"/>
      <c r="X30" s="114">
        <f>E30-E29</f>
        <v>43.621586438920204</v>
      </c>
      <c r="Y30" s="100">
        <f>H30-H29</f>
        <v>-64.693725847295298</v>
      </c>
      <c r="Z30" s="182">
        <f t="shared" si="13"/>
        <v>-18.937403437119485</v>
      </c>
      <c r="AB30" s="7" t="str">
        <f t="shared" si="14"/>
        <v>Bought 43.6215864389202 Shares of State 1 at a cost of -18.9374</v>
      </c>
      <c r="AC30" s="7" t="str">
        <f t="shared" si="15"/>
        <v>Sold 64.6937258472953 Shares of State 2 at a cost of -18.9374</v>
      </c>
      <c r="AD30" s="185" t="str">
        <f t="shared" si="16"/>
        <v>Bought 43.6215864389202 Shares of State 1 at a cost of -18.9374Sold 64.6937258472953 Shares of State 2 at a cost of -18.9374</v>
      </c>
      <c r="AE30" s="187">
        <f t="shared" si="17"/>
        <v>0.37151233659177268</v>
      </c>
      <c r="AF30" s="187">
        <f t="shared" si="18"/>
        <v>0.62848766340822726</v>
      </c>
      <c r="AG30" s="187">
        <f t="shared" si="19"/>
        <v>0.62822826992515579</v>
      </c>
      <c r="AH30" s="187">
        <f t="shared" si="20"/>
        <v>0.37177173007484421</v>
      </c>
    </row>
    <row r="31" spans="2:36" s="7" customFormat="1" ht="18.75" x14ac:dyDescent="0.3">
      <c r="C31" s="21" t="s">
        <v>165</v>
      </c>
      <c r="D31" s="1308">
        <v>43106</v>
      </c>
      <c r="E31" s="233">
        <v>211.79602378038607</v>
      </c>
      <c r="F31" s="232">
        <v>806.48141341785742</v>
      </c>
      <c r="G31" s="231">
        <v>27.712139575358215</v>
      </c>
      <c r="H31" s="230">
        <v>687.53892678139255</v>
      </c>
      <c r="I31" s="229">
        <f t="shared" si="0"/>
        <v>1.8229417238400471E-2</v>
      </c>
      <c r="J31" s="228">
        <f t="shared" si="1"/>
        <v>0.65555272008520193</v>
      </c>
      <c r="K31" s="227">
        <f t="shared" si="2"/>
        <v>6.0140449545909372E-3</v>
      </c>
      <c r="L31" s="226">
        <f t="shared" si="3"/>
        <v>0.32020381772180678</v>
      </c>
      <c r="M31" s="1118">
        <f t="shared" si="5"/>
        <v>0.67378213732360237</v>
      </c>
      <c r="N31" s="217">
        <f t="shared" si="6"/>
        <v>0.32621786267639774</v>
      </c>
      <c r="O31" s="1101">
        <f t="shared" si="7"/>
        <v>2.4243462192991408E-2</v>
      </c>
      <c r="P31" s="1114">
        <f t="shared" si="8"/>
        <v>0.97575653780700877</v>
      </c>
      <c r="Q31" s="1109">
        <f t="shared" si="9"/>
        <v>0.24806873319973044</v>
      </c>
      <c r="R31" s="1126">
        <f t="shared" si="10"/>
        <v>0.32815954115096968</v>
      </c>
      <c r="S31" s="1109">
        <f t="shared" si="11"/>
        <v>13.907299193587061</v>
      </c>
      <c r="T31" s="1105">
        <f t="shared" si="4"/>
        <v>17.751657975246545</v>
      </c>
      <c r="U31" s="82">
        <f t="shared" si="12"/>
        <v>876.57932100464882</v>
      </c>
      <c r="V31" s="49">
        <f t="shared" si="21"/>
        <v>523.83820022279588</v>
      </c>
      <c r="W31" s="194"/>
      <c r="X31" s="114">
        <f>E31-E28</f>
        <v>155.16692363157262</v>
      </c>
      <c r="Y31" s="100">
        <f>H31-H28</f>
        <v>584.05440513653207</v>
      </c>
      <c r="Z31" s="182">
        <f t="shared" si="13"/>
        <v>523.83820022279588</v>
      </c>
      <c r="AB31" s="7" t="str">
        <f t="shared" si="14"/>
        <v>Bought 155.166923631573 Shares of State 1 at a cost of 523.8382</v>
      </c>
      <c r="AC31" s="7" t="str">
        <f t="shared" si="15"/>
        <v>Bought 584.054405136532 Shares of State 2 at a cost of 523.8382</v>
      </c>
      <c r="AD31" s="185" t="str">
        <f t="shared" si="16"/>
        <v>Bought 155.166923631573 Shares of State 1 at a cost of 523.8382Bought 584.054405136532 Shares of State 2 at a cost of 523.8382</v>
      </c>
      <c r="AE31" s="187">
        <f t="shared" si="17"/>
        <v>2.4243462192991408E-2</v>
      </c>
      <c r="AF31" s="187">
        <f t="shared" si="18"/>
        <v>0.97575653780700877</v>
      </c>
      <c r="AG31" s="187">
        <f t="shared" si="19"/>
        <v>0.67378213732360237</v>
      </c>
      <c r="AH31" s="187">
        <f t="shared" si="20"/>
        <v>0.32621786267639774</v>
      </c>
    </row>
    <row r="32" spans="2:36" s="7" customFormat="1" ht="18.75" x14ac:dyDescent="0.3">
      <c r="C32" s="21" t="s">
        <v>165</v>
      </c>
      <c r="D32" s="1308">
        <v>43107</v>
      </c>
      <c r="E32" s="233">
        <v>240.95183645465283</v>
      </c>
      <c r="F32" s="232">
        <v>940.43441410191974</v>
      </c>
      <c r="G32" s="231">
        <v>21.46732376852118</v>
      </c>
      <c r="H32" s="230">
        <v>792.2059270236864</v>
      </c>
      <c r="I32" s="229">
        <f t="shared" si="0"/>
        <v>1.035637477435211E-2</v>
      </c>
      <c r="J32" s="228">
        <f t="shared" si="1"/>
        <v>0.70019069410392676</v>
      </c>
      <c r="K32" s="227">
        <f t="shared" si="2"/>
        <v>2.760485005116936E-3</v>
      </c>
      <c r="L32" s="226">
        <f t="shared" si="3"/>
        <v>0.2866924461166041</v>
      </c>
      <c r="M32" s="1118">
        <f t="shared" si="5"/>
        <v>0.7105470688782789</v>
      </c>
      <c r="N32" s="217">
        <f t="shared" si="6"/>
        <v>0.28945293112172105</v>
      </c>
      <c r="O32" s="1101">
        <f t="shared" si="7"/>
        <v>1.3116859779469046E-2</v>
      </c>
      <c r="P32" s="1114">
        <f t="shared" si="8"/>
        <v>0.98688314022053092</v>
      </c>
      <c r="Q32" s="1109">
        <f t="shared" si="9"/>
        <v>0.21045319165778845</v>
      </c>
      <c r="R32" s="1126">
        <f t="shared" si="10"/>
        <v>0.29050293234570734</v>
      </c>
      <c r="S32" s="1109">
        <f t="shared" si="11"/>
        <v>12.101753199573846</v>
      </c>
      <c r="T32" s="1105">
        <f t="shared" si="4"/>
        <v>15.944140752593952</v>
      </c>
      <c r="U32" s="82">
        <f t="shared" si="12"/>
        <v>999.59723920964257</v>
      </c>
      <c r="V32" s="49">
        <f t="shared" si="21"/>
        <v>123.01791820499375</v>
      </c>
      <c r="W32" s="194"/>
      <c r="X32" s="114">
        <f>E32-E27</f>
        <v>217.55429147834974</v>
      </c>
      <c r="Y32" s="100">
        <f>H32-H27</f>
        <v>735.69830152912766</v>
      </c>
      <c r="Z32" s="182">
        <f t="shared" si="13"/>
        <v>123.01791820499375</v>
      </c>
      <c r="AB32" s="7" t="str">
        <f t="shared" si="14"/>
        <v>Bought 217.55429147835 Shares of State 1 at a cost of 123.01792</v>
      </c>
      <c r="AC32" s="7" t="str">
        <f t="shared" si="15"/>
        <v>Bought 735.698301529128 Shares of State 2 at a cost of 123.01792</v>
      </c>
      <c r="AD32" s="185" t="str">
        <f t="shared" si="16"/>
        <v>Bought 217.55429147835 Shares of State 1 at a cost of 123.01792Bought 735.698301529128 Shares of State 2 at a cost of 123.01792</v>
      </c>
      <c r="AE32" s="187">
        <f t="shared" si="17"/>
        <v>1.3116859779469046E-2</v>
      </c>
      <c r="AF32" s="187">
        <f t="shared" si="18"/>
        <v>0.98688314022053092</v>
      </c>
      <c r="AG32" s="187">
        <f t="shared" si="19"/>
        <v>0.7105470688782789</v>
      </c>
      <c r="AH32" s="187">
        <f t="shared" si="20"/>
        <v>0.28945293112172105</v>
      </c>
    </row>
    <row r="33" spans="3:34" s="7" customFormat="1" ht="18.75" x14ac:dyDescent="0.3">
      <c r="C33" s="21" t="s">
        <v>165</v>
      </c>
      <c r="D33" s="1308">
        <v>43108</v>
      </c>
      <c r="E33" s="233">
        <v>220.1971463147411</v>
      </c>
      <c r="F33" s="232">
        <v>904.56508093815796</v>
      </c>
      <c r="G33" s="231">
        <v>13.731366373815204</v>
      </c>
      <c r="H33" s="230">
        <v>766.93566124706763</v>
      </c>
      <c r="I33" s="229">
        <f t="shared" si="0"/>
        <v>1.1116830833350546E-2</v>
      </c>
      <c r="J33" s="228">
        <f t="shared" si="1"/>
        <v>0.68619281011899036</v>
      </c>
      <c r="K33" s="227">
        <f t="shared" si="2"/>
        <v>3.2049307796360575E-3</v>
      </c>
      <c r="L33" s="226">
        <f t="shared" si="3"/>
        <v>0.29948542826802294</v>
      </c>
      <c r="M33" s="1118">
        <f t="shared" si="5"/>
        <v>0.69730964095234094</v>
      </c>
      <c r="N33" s="217">
        <f t="shared" si="6"/>
        <v>0.30269035904765901</v>
      </c>
      <c r="O33" s="1101">
        <f t="shared" si="7"/>
        <v>1.4321761612986603E-2</v>
      </c>
      <c r="P33" s="1114">
        <f t="shared" si="8"/>
        <v>0.98567823838701329</v>
      </c>
      <c r="Q33" s="1109">
        <f t="shared" si="9"/>
        <v>0.22378048638443396</v>
      </c>
      <c r="R33" s="1126">
        <f t="shared" si="10"/>
        <v>0.30383690803411451</v>
      </c>
      <c r="S33" s="1109">
        <f t="shared" si="11"/>
        <v>12.74146334645283</v>
      </c>
      <c r="T33" s="1105">
        <f t="shared" si="4"/>
        <v>16.584171585637495</v>
      </c>
      <c r="U33" s="82">
        <f t="shared" si="12"/>
        <v>967.08012092620675</v>
      </c>
      <c r="V33" s="49">
        <f t="shared" si="21"/>
        <v>-32.517118283435821</v>
      </c>
      <c r="W33" s="194"/>
      <c r="X33" s="114">
        <f>E33-E28</f>
        <v>163.56804616592768</v>
      </c>
      <c r="Y33" s="100">
        <f>H33-H28</f>
        <v>663.45113960220715</v>
      </c>
      <c r="Z33" s="182">
        <f t="shared" si="13"/>
        <v>-32.517118283435821</v>
      </c>
      <c r="AB33" s="7" t="str">
        <f t="shared" si="14"/>
        <v>Bought 163.568046165928 Shares of State 1 at a cost of -32.51712</v>
      </c>
      <c r="AC33" s="7" t="str">
        <f t="shared" si="15"/>
        <v>Bought 663.451139602207 Shares of State 2 at a cost of -32.51712</v>
      </c>
      <c r="AD33" s="185" t="str">
        <f t="shared" si="16"/>
        <v>Bought 163.568046165928 Shares of State 1 at a cost of -32.51712Bought 663.451139602207 Shares of State 2 at a cost of -32.51712</v>
      </c>
      <c r="AE33" s="187">
        <f t="shared" si="17"/>
        <v>1.4321761612986603E-2</v>
      </c>
      <c r="AF33" s="187">
        <f t="shared" si="18"/>
        <v>0.98567823838701329</v>
      </c>
      <c r="AG33" s="187">
        <f t="shared" si="19"/>
        <v>0.69730964095234094</v>
      </c>
      <c r="AH33" s="187">
        <f t="shared" si="20"/>
        <v>0.30269035904765901</v>
      </c>
    </row>
    <row r="34" spans="3:34" s="7" customFormat="1" ht="18.75" x14ac:dyDescent="0.3">
      <c r="C34" s="21" t="s">
        <v>165</v>
      </c>
      <c r="D34" s="1308">
        <v>43109</v>
      </c>
      <c r="E34" s="233">
        <v>227.83342978688435</v>
      </c>
      <c r="F34" s="232">
        <v>891.26263480613522</v>
      </c>
      <c r="G34" s="231">
        <v>24.752112805701671</v>
      </c>
      <c r="H34" s="230">
        <v>756.43409005445324</v>
      </c>
      <c r="I34" s="229">
        <f t="shared" si="0"/>
        <v>1.2522486591187227E-2</v>
      </c>
      <c r="J34" s="228">
        <f t="shared" si="1"/>
        <v>0.68135770426913678</v>
      </c>
      <c r="K34" s="227">
        <f t="shared" si="2"/>
        <v>3.6845357274765921E-3</v>
      </c>
      <c r="L34" s="226">
        <f t="shared" si="3"/>
        <v>0.30243527341219939</v>
      </c>
      <c r="M34" s="1118">
        <f t="shared" si="5"/>
        <v>0.69388019086032404</v>
      </c>
      <c r="N34" s="217">
        <f t="shared" si="6"/>
        <v>0.30611980913967596</v>
      </c>
      <c r="O34" s="1101">
        <f t="shared" si="7"/>
        <v>1.6207022318663819E-2</v>
      </c>
      <c r="P34" s="1114">
        <f t="shared" si="8"/>
        <v>0.98379297768133611</v>
      </c>
      <c r="Q34" s="1109">
        <f t="shared" si="9"/>
        <v>0.2273419296296966</v>
      </c>
      <c r="R34" s="1126">
        <f t="shared" si="10"/>
        <v>0.30741759727234225</v>
      </c>
      <c r="S34" s="1109">
        <f t="shared" si="11"/>
        <v>12.912412622225437</v>
      </c>
      <c r="T34" s="1105">
        <f t="shared" si="4"/>
        <v>16.756044669072427</v>
      </c>
      <c r="U34" s="82">
        <f t="shared" si="12"/>
        <v>954.95149748966026</v>
      </c>
      <c r="V34" s="49">
        <f t="shared" si="21"/>
        <v>-12.128623436546491</v>
      </c>
      <c r="W34" s="194"/>
      <c r="X34" s="114">
        <f>E34-E27</f>
        <v>204.43588481058126</v>
      </c>
      <c r="Y34" s="100">
        <f>H34-H27</f>
        <v>699.9264645598945</v>
      </c>
      <c r="Z34" s="182">
        <f t="shared" si="13"/>
        <v>-12.128623436546491</v>
      </c>
      <c r="AB34" s="7" t="str">
        <f t="shared" si="14"/>
        <v>Bought 204.435884810581 Shares of State 1 at a cost of -12.12862</v>
      </c>
      <c r="AC34" s="7" t="str">
        <f t="shared" si="15"/>
        <v>Bought 699.926464559894 Shares of State 2 at a cost of -12.12862</v>
      </c>
      <c r="AD34" s="185" t="str">
        <f t="shared" si="16"/>
        <v>Bought 204.435884810581 Shares of State 1 at a cost of -12.12862Bought 699.926464559894 Shares of State 2 at a cost of -12.12862</v>
      </c>
      <c r="AE34" s="187">
        <f t="shared" si="17"/>
        <v>1.6207022318663819E-2</v>
      </c>
      <c r="AF34" s="187">
        <f t="shared" si="18"/>
        <v>0.98379297768133611</v>
      </c>
      <c r="AG34" s="187">
        <f t="shared" si="19"/>
        <v>0.69388019086032404</v>
      </c>
      <c r="AH34" s="187">
        <f t="shared" si="20"/>
        <v>0.30611980913967596</v>
      </c>
    </row>
    <row r="35" spans="3:34" s="7" customFormat="1" ht="18.75" x14ac:dyDescent="0.3">
      <c r="C35" s="21" t="s">
        <v>165</v>
      </c>
      <c r="D35" s="1308">
        <v>43110</v>
      </c>
      <c r="E35" s="233">
        <v>171.93435253978853</v>
      </c>
      <c r="F35" s="232">
        <v>344.26665829665961</v>
      </c>
      <c r="G35" s="231">
        <v>9.7977600436447071E-2</v>
      </c>
      <c r="H35" s="230">
        <v>235.70651015988011</v>
      </c>
      <c r="I35" s="229">
        <f t="shared" si="0"/>
        <v>0.17706817876115152</v>
      </c>
      <c r="J35" s="228">
        <f t="shared" si="1"/>
        <v>0.50003658681243601</v>
      </c>
      <c r="K35" s="227">
        <f t="shared" si="2"/>
        <v>6.2889295347638402E-2</v>
      </c>
      <c r="L35" s="226">
        <f t="shared" si="3"/>
        <v>0.26000593907877412</v>
      </c>
      <c r="M35" s="1118">
        <f t="shared" si="5"/>
        <v>0.67710476557358756</v>
      </c>
      <c r="N35" s="217">
        <f t="shared" si="6"/>
        <v>0.32289523442641255</v>
      </c>
      <c r="O35" s="1101">
        <f t="shared" si="7"/>
        <v>0.23995747410878993</v>
      </c>
      <c r="P35" s="1114">
        <f t="shared" si="8"/>
        <v>0.76004252589121013</v>
      </c>
      <c r="Q35" s="1109">
        <f t="shared" si="9"/>
        <v>0.26208516980440533</v>
      </c>
      <c r="R35" s="1126">
        <f t="shared" si="10"/>
        <v>0.34209393582799402</v>
      </c>
      <c r="S35" s="1109">
        <f t="shared" si="11"/>
        <v>14.580088150611456</v>
      </c>
      <c r="T35" s="1105">
        <f t="shared" si="4"/>
        <v>18.420508919743714</v>
      </c>
      <c r="U35" s="82">
        <f t="shared" si="12"/>
        <v>459.31694389227363</v>
      </c>
      <c r="V35" s="49">
        <f t="shared" si="21"/>
        <v>-495.63455359738663</v>
      </c>
      <c r="W35" s="194"/>
      <c r="X35" s="114">
        <f>E35-E30</f>
        <v>47.947312524844534</v>
      </c>
      <c r="Y35" s="100">
        <f>H35-H30</f>
        <v>111.54873713535483</v>
      </c>
      <c r="Z35" s="182">
        <f t="shared" si="13"/>
        <v>-495.63455359738663</v>
      </c>
      <c r="AB35" s="7" t="str">
        <f t="shared" si="14"/>
        <v>Bought 47.9473125248445 Shares of State 1 at a cost of -495.63455</v>
      </c>
      <c r="AC35" s="7" t="str">
        <f t="shared" si="15"/>
        <v>Bought 111.548737135355 Shares of State 2 at a cost of -495.63455</v>
      </c>
      <c r="AD35" s="185" t="str">
        <f t="shared" si="16"/>
        <v>Bought 47.9473125248445 Shares of State 1 at a cost of -495.63455Bought 111.548737135355 Shares of State 2 at a cost of -495.63455</v>
      </c>
      <c r="AE35" s="187">
        <f t="shared" si="17"/>
        <v>0.23995747410878993</v>
      </c>
      <c r="AF35" s="187">
        <f t="shared" si="18"/>
        <v>0.76004252589121013</v>
      </c>
      <c r="AG35" s="187">
        <f t="shared" si="19"/>
        <v>0.67710476557358756</v>
      </c>
      <c r="AH35" s="187">
        <f t="shared" si="20"/>
        <v>0.32289523442641255</v>
      </c>
    </row>
    <row r="36" spans="3:34" s="7" customFormat="1" ht="18.75" x14ac:dyDescent="0.3">
      <c r="C36" s="21" t="s">
        <v>165</v>
      </c>
      <c r="D36" s="1308">
        <v>43111</v>
      </c>
      <c r="E36" s="233">
        <v>329.55800826017463</v>
      </c>
      <c r="F36" s="232">
        <v>146.7087899766629</v>
      </c>
      <c r="G36" s="231">
        <v>71.836624008097957</v>
      </c>
      <c r="H36" s="230">
        <v>1.8946147960723456</v>
      </c>
      <c r="I36" s="229">
        <f t="shared" si="0"/>
        <v>0.5941774266214459</v>
      </c>
      <c r="J36" s="228">
        <f t="shared" si="1"/>
        <v>0.1974877698900174</v>
      </c>
      <c r="K36" s="227">
        <f t="shared" si="2"/>
        <v>0.12579322826271661</v>
      </c>
      <c r="L36" s="226">
        <f t="shared" si="3"/>
        <v>8.2541575225820091E-2</v>
      </c>
      <c r="M36" s="1118">
        <f t="shared" si="5"/>
        <v>0.79166519651146328</v>
      </c>
      <c r="N36" s="217">
        <f t="shared" si="6"/>
        <v>0.2083348034885367</v>
      </c>
      <c r="O36" s="1101">
        <f t="shared" si="7"/>
        <v>0.71997065488416245</v>
      </c>
      <c r="P36" s="1114">
        <f t="shared" si="8"/>
        <v>0.28002934511583749</v>
      </c>
      <c r="Q36" s="1109">
        <f t="shared" si="9"/>
        <v>0.17471993811047165</v>
      </c>
      <c r="R36" s="1126">
        <f t="shared" si="10"/>
        <v>0.29476044802260198</v>
      </c>
      <c r="S36" s="1109">
        <f t="shared" si="11"/>
        <v>10.38655702930264</v>
      </c>
      <c r="T36" s="1105">
        <f t="shared" si="4"/>
        <v>16.148501505084894</v>
      </c>
      <c r="U36" s="82">
        <f t="shared" si="12"/>
        <v>415.97384109019816</v>
      </c>
      <c r="V36" s="49">
        <f t="shared" si="21"/>
        <v>-43.343102802075464</v>
      </c>
      <c r="W36" s="194"/>
      <c r="X36" s="114">
        <f>E36-E29</f>
        <v>249.19255468415082</v>
      </c>
      <c r="Y36" s="100">
        <f>H36-H29</f>
        <v>-186.95688407574823</v>
      </c>
      <c r="Z36" s="182">
        <f t="shared" si="13"/>
        <v>-43.343102802075464</v>
      </c>
      <c r="AB36" s="7" t="str">
        <f t="shared" ref="AB36:AB42" si="22">IF(X36&gt;0,"Bought ",IF(X36&lt;0,"Sold ",""))&amp;IF(X36&lt;0,X36*-1,IF(X36&gt;0,X36,""))&amp;IF(X36&lt;&gt;0," Shares of State 1 at a cost of "&amp;ROUND($Z36,5),"")</f>
        <v>Bought 249.192554684151 Shares of State 1 at a cost of -43.3431</v>
      </c>
      <c r="AC36" s="7" t="str">
        <f t="shared" ref="AC36:AC42" si="23">IF(Y36&gt;0,"Bought ",IF(Y36&lt;0,"Sold ",""))&amp;IF(Y36&lt;0,Y36*-1,IF(Y36&gt;0,Y36,""))&amp;IF(Y36&lt;&gt;0," Shares of State 2 at a cost of "&amp;ROUND($Z36,5),"")</f>
        <v>Sold 186.956884075748 Shares of State 2 at a cost of -43.3431</v>
      </c>
      <c r="AD36" s="185" t="str">
        <f t="shared" ref="AD36:AD42" si="24">AB36&amp;AC36</f>
        <v>Bought 249.192554684151 Shares of State 1 at a cost of -43.3431Sold 186.956884075748 Shares of State 2 at a cost of -43.3431</v>
      </c>
      <c r="AE36" s="187">
        <f t="shared" si="17"/>
        <v>0.71997065488416245</v>
      </c>
      <c r="AF36" s="187">
        <f t="shared" si="18"/>
        <v>0.28002934511583749</v>
      </c>
      <c r="AG36" s="187">
        <f t="shared" si="19"/>
        <v>0.79166519651146328</v>
      </c>
      <c r="AH36" s="187">
        <f t="shared" si="20"/>
        <v>0.2083348034885367</v>
      </c>
    </row>
    <row r="37" spans="3:34" s="7" customFormat="1" ht="18.75" x14ac:dyDescent="0.3">
      <c r="C37" s="21" t="s">
        <v>165</v>
      </c>
      <c r="D37" s="1308">
        <v>43112</v>
      </c>
      <c r="E37" s="233">
        <v>330.11426887338052</v>
      </c>
      <c r="F37" s="232">
        <v>155.75975268738583</v>
      </c>
      <c r="G37" s="231">
        <v>59.001331618064135</v>
      </c>
      <c r="H37" s="230">
        <v>1.9055003725742854</v>
      </c>
      <c r="I37" s="229">
        <f t="shared" si="0"/>
        <v>0.59397020231267139</v>
      </c>
      <c r="J37" s="228">
        <f t="shared" si="1"/>
        <v>0.20778434581530103</v>
      </c>
      <c r="K37" s="227">
        <f t="shared" si="2"/>
        <v>0.11600330571624022</v>
      </c>
      <c r="L37" s="226">
        <f t="shared" si="3"/>
        <v>8.2242146155787302E-2</v>
      </c>
      <c r="M37" s="1118">
        <f t="shared" si="5"/>
        <v>0.80175454812797242</v>
      </c>
      <c r="N37" s="217">
        <f t="shared" si="6"/>
        <v>0.19824545187202752</v>
      </c>
      <c r="O37" s="1101">
        <f t="shared" si="7"/>
        <v>0.70997350802891157</v>
      </c>
      <c r="P37" s="1114">
        <f t="shared" si="8"/>
        <v>0.29002649197108832</v>
      </c>
      <c r="Q37" s="1109">
        <f t="shared" si="9"/>
        <v>0.16339103417858281</v>
      </c>
      <c r="R37" s="1126">
        <f t="shared" si="10"/>
        <v>0.28356770306343504</v>
      </c>
      <c r="S37" s="1109">
        <f t="shared" si="11"/>
        <v>9.8427696405719747</v>
      </c>
      <c r="T37" s="1105">
        <f t="shared" si="4"/>
        <v>15.611249747044882</v>
      </c>
      <c r="U37" s="82">
        <f t="shared" si="12"/>
        <v>416.58800567891626</v>
      </c>
      <c r="V37" s="49">
        <f t="shared" si="21"/>
        <v>0.61416458871809709</v>
      </c>
      <c r="W37" s="194"/>
      <c r="X37" s="114">
        <f>E37-E28</f>
        <v>273.48516872456707</v>
      </c>
      <c r="Y37" s="100">
        <f>H37-H28</f>
        <v>-101.57902127228624</v>
      </c>
      <c r="Z37" s="182">
        <f t="shared" si="13"/>
        <v>0.61416458871809709</v>
      </c>
      <c r="AB37" s="7" t="str">
        <f t="shared" si="22"/>
        <v>Bought 273.485168724567 Shares of State 1 at a cost of 0.61416</v>
      </c>
      <c r="AC37" s="7" t="str">
        <f t="shared" si="23"/>
        <v>Sold 101.579021272286 Shares of State 2 at a cost of 0.61416</v>
      </c>
      <c r="AD37" s="185" t="str">
        <f t="shared" si="24"/>
        <v>Bought 273.485168724567 Shares of State 1 at a cost of 0.61416Sold 101.579021272286 Shares of State 2 at a cost of 0.61416</v>
      </c>
      <c r="AE37" s="187">
        <f t="shared" si="17"/>
        <v>0.70997350802891157</v>
      </c>
      <c r="AF37" s="187">
        <f t="shared" si="18"/>
        <v>0.29002649197108832</v>
      </c>
      <c r="AG37" s="187">
        <f t="shared" si="19"/>
        <v>0.80175454812797242</v>
      </c>
      <c r="AH37" s="187">
        <f t="shared" si="20"/>
        <v>0.19824545187202752</v>
      </c>
    </row>
    <row r="38" spans="3:34" s="7" customFormat="1" ht="18.75" x14ac:dyDescent="0.3">
      <c r="C38" s="21" t="s">
        <v>165</v>
      </c>
      <c r="D38" s="1308">
        <v>43113</v>
      </c>
      <c r="E38" s="233">
        <v>304.33689895216855</v>
      </c>
      <c r="F38" s="232">
        <v>145.59789160083494</v>
      </c>
      <c r="G38" s="231">
        <v>49.877151087413267</v>
      </c>
      <c r="H38" s="230">
        <v>3.3661151683711972</v>
      </c>
      <c r="I38" s="229">
        <f t="shared" si="0"/>
        <v>0.56708950789553991</v>
      </c>
      <c r="J38" s="228">
        <f t="shared" si="1"/>
        <v>0.21794834236672639</v>
      </c>
      <c r="K38" s="227">
        <f t="shared" si="2"/>
        <v>0.12244073367041533</v>
      </c>
      <c r="L38" s="226">
        <f t="shared" si="3"/>
        <v>9.2521416067318299E-2</v>
      </c>
      <c r="M38" s="1118">
        <f t="shared" si="5"/>
        <v>0.78503785026226636</v>
      </c>
      <c r="N38" s="217">
        <f t="shared" si="6"/>
        <v>0.21496214973773364</v>
      </c>
      <c r="O38" s="1101">
        <f t="shared" si="7"/>
        <v>0.68953024156595522</v>
      </c>
      <c r="P38" s="1114">
        <f t="shared" si="8"/>
        <v>0.31046975843404467</v>
      </c>
      <c r="Q38" s="1109">
        <f t="shared" si="9"/>
        <v>0.17757123080250511</v>
      </c>
      <c r="R38" s="1126">
        <f t="shared" si="10"/>
        <v>0.29800459965563214</v>
      </c>
      <c r="S38" s="1109">
        <f t="shared" si="11"/>
        <v>10.523419078520245</v>
      </c>
      <c r="T38" s="1105">
        <f t="shared" si="4"/>
        <v>16.304220783470342</v>
      </c>
      <c r="U38" s="82">
        <f t="shared" si="12"/>
        <v>398.49842777914102</v>
      </c>
      <c r="V38" s="49">
        <f t="shared" si="21"/>
        <v>-18.089577899775236</v>
      </c>
      <c r="W38" s="194"/>
      <c r="X38" s="114">
        <f>E38-E30</f>
        <v>180.34985893722455</v>
      </c>
      <c r="Y38" s="100">
        <f>H38-H30</f>
        <v>-120.79165785615409</v>
      </c>
      <c r="Z38" s="182">
        <f t="shared" si="13"/>
        <v>-18.089577899775236</v>
      </c>
      <c r="AB38" s="7" t="str">
        <f>IF(X38&gt;0,"Bought ",IF(X38&lt;0,"Sold ",""))&amp;IF(X38&lt;0,X38*-1,IF(X38&gt;0,X38,""))&amp;IF(X38&lt;&gt;0," Shares of State 1 at a cost of "&amp;ROUND($Z38,5),"")</f>
        <v>Bought 180.349858937225 Shares of State 1 at a cost of -18.08958</v>
      </c>
      <c r="AC38" s="7" t="str">
        <f>IF(Y38&gt;0,"Bought ",IF(Y38&lt;0,"Sold ",""))&amp;IF(Y38&lt;0,Y38*-1,IF(Y38&gt;0,Y38,""))&amp;IF(Y38&lt;&gt;0," Shares of State 2 at a cost of "&amp;ROUND($Z38,5),"")</f>
        <v>Sold 120.791657856154 Shares of State 2 at a cost of -18.08958</v>
      </c>
      <c r="AD38" s="185" t="str">
        <f>AB38&amp;AC38</f>
        <v>Bought 180.349858937225 Shares of State 1 at a cost of -18.08958Sold 120.791657856154 Shares of State 2 at a cost of -18.08958</v>
      </c>
      <c r="AE38" s="187">
        <f t="shared" si="17"/>
        <v>0.68953024156595522</v>
      </c>
      <c r="AF38" s="187">
        <f t="shared" si="18"/>
        <v>0.31046975843404467</v>
      </c>
      <c r="AG38" s="187">
        <f t="shared" si="19"/>
        <v>0.78503785026226636</v>
      </c>
      <c r="AH38" s="187">
        <f t="shared" si="20"/>
        <v>0.21496214973773364</v>
      </c>
    </row>
    <row r="39" spans="3:34" s="7" customFormat="1" ht="18.75" x14ac:dyDescent="0.3">
      <c r="C39" s="21" t="s">
        <v>165</v>
      </c>
      <c r="D39" s="1308">
        <v>43114</v>
      </c>
      <c r="E39" s="233">
        <v>304.03434237496708</v>
      </c>
      <c r="F39" s="232">
        <v>110.95663605745747</v>
      </c>
      <c r="G39" s="231">
        <v>107.36349686706801</v>
      </c>
      <c r="H39" s="230">
        <v>11.382548852612899</v>
      </c>
      <c r="I39" s="229">
        <f t="shared" si="0"/>
        <v>0.55870158837779915</v>
      </c>
      <c r="J39" s="228">
        <f t="shared" si="1"/>
        <v>0.17459985041818382</v>
      </c>
      <c r="K39" s="227">
        <f t="shared" si="2"/>
        <v>0.17086117247279226</v>
      </c>
      <c r="L39" s="226">
        <f t="shared" si="3"/>
        <v>9.5837388731224771E-2</v>
      </c>
      <c r="M39" s="1118">
        <f t="shared" si="5"/>
        <v>0.73330143879598297</v>
      </c>
      <c r="N39" s="217">
        <f t="shared" si="6"/>
        <v>0.26669856120401703</v>
      </c>
      <c r="O39" s="1101">
        <f t="shared" si="7"/>
        <v>0.72956276085059146</v>
      </c>
      <c r="P39" s="1114">
        <f t="shared" si="8"/>
        <v>0.27043723914940859</v>
      </c>
      <c r="Q39" s="1109">
        <f t="shared" si="9"/>
        <v>0.23419667455831567</v>
      </c>
      <c r="R39" s="1126">
        <f t="shared" si="10"/>
        <v>0.35437940807507445</v>
      </c>
      <c r="S39" s="1109">
        <f t="shared" si="11"/>
        <v>13.241440378799151</v>
      </c>
      <c r="T39" s="1105">
        <f t="shared" si="4"/>
        <v>19.010211587603575</v>
      </c>
      <c r="U39" s="82">
        <f t="shared" si="12"/>
        <v>400.6695457773377</v>
      </c>
      <c r="V39" s="49">
        <f t="shared" si="21"/>
        <v>2.1711179981966779</v>
      </c>
      <c r="W39" s="194"/>
      <c r="X39" s="114">
        <f>E39-E29</f>
        <v>223.66888879894327</v>
      </c>
      <c r="Y39" s="100">
        <f>H39-H29</f>
        <v>-177.46895001920768</v>
      </c>
      <c r="Z39" s="182">
        <f t="shared" si="13"/>
        <v>2.1711179981966779</v>
      </c>
      <c r="AB39" s="7" t="str">
        <f>IF(X39&gt;0,"Bought ",IF(X39&lt;0,"Sold ",""))&amp;IF(X39&lt;0,X39*-1,IF(X39&gt;0,X39,""))&amp;IF(X39&lt;&gt;0," Shares of State 1 at a cost of "&amp;ROUND($Z39,5),"")</f>
        <v>Bought 223.668888798943 Shares of State 1 at a cost of 2.17112</v>
      </c>
      <c r="AC39" s="7" t="str">
        <f>IF(Y39&gt;0,"Bought ",IF(Y39&lt;0,"Sold ",""))&amp;IF(Y39&lt;0,Y39*-1,IF(Y39&gt;0,Y39,""))&amp;IF(Y39&lt;&gt;0," Shares of State 2 at a cost of "&amp;ROUND($Z39,5),"")</f>
        <v>Sold 177.468950019208 Shares of State 2 at a cost of 2.17112</v>
      </c>
      <c r="AD39" s="185" t="str">
        <f>AB39&amp;AC39</f>
        <v>Bought 223.668888798943 Shares of State 1 at a cost of 2.17112Sold 177.468950019208 Shares of State 2 at a cost of 2.17112</v>
      </c>
      <c r="AE39" s="187">
        <f t="shared" si="17"/>
        <v>0.72956276085059146</v>
      </c>
      <c r="AF39" s="187">
        <f t="shared" si="18"/>
        <v>0.27043723914940859</v>
      </c>
      <c r="AG39" s="187">
        <f t="shared" si="19"/>
        <v>0.73330143879598297</v>
      </c>
      <c r="AH39" s="187">
        <f t="shared" si="20"/>
        <v>0.26669856120401703</v>
      </c>
    </row>
    <row r="40" spans="3:34" s="7" customFormat="1" ht="18.75" x14ac:dyDescent="0.3">
      <c r="C40" s="21" t="s">
        <v>165</v>
      </c>
      <c r="D40" s="1308">
        <v>43115</v>
      </c>
      <c r="E40" s="233">
        <v>293.29156054384515</v>
      </c>
      <c r="F40" s="232">
        <v>62.085084788307128</v>
      </c>
      <c r="G40" s="231">
        <v>145.35472005516647</v>
      </c>
      <c r="H40" s="230">
        <v>2.1992942351090741</v>
      </c>
      <c r="I40" s="229">
        <f t="shared" si="0"/>
        <v>0.54594078051628248</v>
      </c>
      <c r="J40" s="228">
        <f t="shared" si="1"/>
        <v>0.13559878487358118</v>
      </c>
      <c r="K40" s="227">
        <f t="shared" si="2"/>
        <v>0.22392803394278199</v>
      </c>
      <c r="L40" s="226">
        <f t="shared" si="3"/>
        <v>9.4532400667354327E-2</v>
      </c>
      <c r="M40" s="1118">
        <f t="shared" si="5"/>
        <v>0.68153956538986371</v>
      </c>
      <c r="N40" s="217">
        <f t="shared" si="6"/>
        <v>0.31846043461013629</v>
      </c>
      <c r="O40" s="1101">
        <f t="shared" si="7"/>
        <v>0.76986881445906441</v>
      </c>
      <c r="P40" s="1114">
        <f t="shared" si="8"/>
        <v>0.23013118554093551</v>
      </c>
      <c r="Q40" s="1109">
        <f t="shared" si="9"/>
        <v>0.29086518344053375</v>
      </c>
      <c r="R40" s="1126">
        <f t="shared" si="10"/>
        <v>0.4107761425082434</v>
      </c>
      <c r="S40" s="1109">
        <f t="shared" si="11"/>
        <v>15.961528805145619</v>
      </c>
      <c r="T40" s="1105">
        <f t="shared" si="4"/>
        <v>21.717254840395682</v>
      </c>
      <c r="U40" s="82">
        <f t="shared" si="12"/>
        <v>393.76219231610304</v>
      </c>
      <c r="V40" s="49">
        <f t="shared" si="21"/>
        <v>-6.9073534612346634</v>
      </c>
      <c r="W40" s="194"/>
      <c r="X40" s="114">
        <f>E40-E28</f>
        <v>236.6624603950317</v>
      </c>
      <c r="Y40" s="100">
        <f>H40-H28</f>
        <v>-101.28522740975144</v>
      </c>
      <c r="Z40" s="182">
        <f t="shared" si="13"/>
        <v>-6.9073534612346634</v>
      </c>
      <c r="AB40" s="7" t="str">
        <f>IF(X40&gt;0,"Bought ",IF(X40&lt;0,"Sold ",""))&amp;IF(X40&lt;0,X40*-1,IF(X40&gt;0,X40,""))&amp;IF(X40&lt;&gt;0," Shares of State 1 at a cost of "&amp;ROUND($Z40,5),"")</f>
        <v>Bought 236.662460395032 Shares of State 1 at a cost of -6.90735</v>
      </c>
      <c r="AC40" s="7" t="str">
        <f>IF(Y40&gt;0,"Bought ",IF(Y40&lt;0,"Sold ",""))&amp;IF(Y40&lt;0,Y40*-1,IF(Y40&gt;0,Y40,""))&amp;IF(Y40&lt;&gt;0," Shares of State 2 at a cost of "&amp;ROUND($Z40,5),"")</f>
        <v>Sold 101.285227409751 Shares of State 2 at a cost of -6.90735</v>
      </c>
      <c r="AD40" s="185" t="str">
        <f>AB40&amp;AC40</f>
        <v>Bought 236.662460395032 Shares of State 1 at a cost of -6.90735Sold 101.285227409751 Shares of State 2 at a cost of -6.90735</v>
      </c>
      <c r="AE40" s="187">
        <f t="shared" si="17"/>
        <v>0.76986881445906441</v>
      </c>
      <c r="AF40" s="187">
        <f t="shared" si="18"/>
        <v>0.23013118554093551</v>
      </c>
      <c r="AG40" s="187">
        <f t="shared" si="19"/>
        <v>0.68153956538986371</v>
      </c>
      <c r="AH40" s="187">
        <f t="shared" si="20"/>
        <v>0.31846043461013629</v>
      </c>
    </row>
    <row r="41" spans="3:34" s="7" customFormat="1" ht="18.75" x14ac:dyDescent="0.3">
      <c r="C41" s="21" t="s">
        <v>165</v>
      </c>
      <c r="D41" s="1308">
        <v>43116</v>
      </c>
      <c r="E41" s="233">
        <v>287.922370712234</v>
      </c>
      <c r="F41" s="232">
        <v>75.655125856017278</v>
      </c>
      <c r="G41" s="231">
        <v>122.83145747004673</v>
      </c>
      <c r="H41" s="230">
        <v>1.4054579756790007</v>
      </c>
      <c r="I41" s="229">
        <f t="shared" si="0"/>
        <v>0.5475589142001337</v>
      </c>
      <c r="J41" s="228">
        <f t="shared" si="1"/>
        <v>0.15243704928308308</v>
      </c>
      <c r="K41" s="227">
        <f t="shared" si="2"/>
        <v>0.20254184111606752</v>
      </c>
      <c r="L41" s="226">
        <f t="shared" si="3"/>
        <v>9.7462195400715684E-2</v>
      </c>
      <c r="M41" s="1118">
        <f t="shared" si="5"/>
        <v>0.6999959634832168</v>
      </c>
      <c r="N41" s="217">
        <f t="shared" si="6"/>
        <v>0.3000040365167832</v>
      </c>
      <c r="O41" s="1101">
        <f t="shared" si="7"/>
        <v>0.75010075531620124</v>
      </c>
      <c r="P41" s="1114">
        <f t="shared" si="8"/>
        <v>0.24989924468379876</v>
      </c>
      <c r="Q41" s="1109">
        <f t="shared" si="9"/>
        <v>0.27001951361945636</v>
      </c>
      <c r="R41" s="1126">
        <f t="shared" si="10"/>
        <v>0.39000596229906997</v>
      </c>
      <c r="S41" s="1109">
        <f t="shared" si="11"/>
        <v>14.960936653733906</v>
      </c>
      <c r="T41" s="1105">
        <f t="shared" si="4"/>
        <v>20.72028619035536</v>
      </c>
      <c r="U41" s="82">
        <f t="shared" si="12"/>
        <v>387.90171677334058</v>
      </c>
      <c r="V41" s="49">
        <f t="shared" si="21"/>
        <v>-5.8604755427624582</v>
      </c>
      <c r="W41" s="194"/>
      <c r="X41" s="114">
        <f>E41-E37</f>
        <v>-42.191898161146526</v>
      </c>
      <c r="Y41" s="100">
        <f>H41-H37</f>
        <v>-0.50004239689528474</v>
      </c>
      <c r="Z41" s="182">
        <f t="shared" si="13"/>
        <v>-5.8604755427624582</v>
      </c>
      <c r="AB41" s="7" t="str">
        <f t="shared" si="22"/>
        <v>Sold 42.1918981611465 Shares of State 1 at a cost of -5.86048</v>
      </c>
      <c r="AC41" s="7" t="str">
        <f t="shared" si="23"/>
        <v>Sold 0.500042396895285 Shares of State 2 at a cost of -5.86048</v>
      </c>
      <c r="AD41" s="185" t="str">
        <f t="shared" si="24"/>
        <v>Sold 42.1918981611465 Shares of State 1 at a cost of -5.86048Sold 0.500042396895285 Shares of State 2 at a cost of -5.86048</v>
      </c>
      <c r="AE41" s="187">
        <f t="shared" si="17"/>
        <v>0.75010075531620124</v>
      </c>
      <c r="AF41" s="187">
        <f t="shared" si="18"/>
        <v>0.24989924468379876</v>
      </c>
      <c r="AG41" s="187">
        <f t="shared" si="19"/>
        <v>0.6999959634832168</v>
      </c>
      <c r="AH41" s="187">
        <f t="shared" si="20"/>
        <v>0.3000040365167832</v>
      </c>
    </row>
    <row r="42" spans="3:34" s="7" customFormat="1" ht="18.75" x14ac:dyDescent="0.3">
      <c r="C42" s="21" t="s">
        <v>165</v>
      </c>
      <c r="D42" s="1308">
        <v>43117</v>
      </c>
      <c r="E42" s="233">
        <v>358.89938129951986</v>
      </c>
      <c r="F42" s="232">
        <v>329.62968565802134</v>
      </c>
      <c r="G42" s="231">
        <v>17.581022359015144</v>
      </c>
      <c r="H42" s="230">
        <v>199.40288911772831</v>
      </c>
      <c r="I42" s="229">
        <f t="shared" si="0"/>
        <v>0.4257361743896183</v>
      </c>
      <c r="J42" s="228">
        <f t="shared" si="1"/>
        <v>0.35691454299261055</v>
      </c>
      <c r="K42" s="227">
        <f t="shared" si="2"/>
        <v>5.4471909842403549E-2</v>
      </c>
      <c r="L42" s="226">
        <f t="shared" si="3"/>
        <v>0.1628773727753676</v>
      </c>
      <c r="M42" s="1118">
        <f t="shared" si="5"/>
        <v>0.7826507173822288</v>
      </c>
      <c r="N42" s="217">
        <f t="shared" si="6"/>
        <v>0.21734928261777114</v>
      </c>
      <c r="O42" s="1101">
        <f t="shared" si="7"/>
        <v>0.48020808423202188</v>
      </c>
      <c r="P42" s="1114">
        <f t="shared" si="8"/>
        <v>0.51979191576797812</v>
      </c>
      <c r="Q42" s="1109">
        <f t="shared" si="9"/>
        <v>0.11343397087851688</v>
      </c>
      <c r="R42" s="1126">
        <f t="shared" si="10"/>
        <v>0.31335110807700961</v>
      </c>
      <c r="S42" s="1109">
        <f t="shared" si="11"/>
        <v>7.4448306021688104</v>
      </c>
      <c r="T42" s="1105">
        <f t="shared" si="4"/>
        <v>17.040853187696463</v>
      </c>
      <c r="U42" s="82">
        <f t="shared" si="12"/>
        <v>500.65266326190147</v>
      </c>
      <c r="V42" s="49">
        <f t="shared" si="21"/>
        <v>112.75094648856088</v>
      </c>
      <c r="W42" s="194"/>
      <c r="X42" s="114">
        <f>E42-E36</f>
        <v>29.341373039345228</v>
      </c>
      <c r="Y42" s="100">
        <f>H42-H36</f>
        <v>197.50827432165596</v>
      </c>
      <c r="Z42" s="182">
        <f t="shared" si="13"/>
        <v>112.75094648856088</v>
      </c>
      <c r="AB42" s="7" t="str">
        <f t="shared" si="22"/>
        <v>Bought 29.3413730393452 Shares of State 1 at a cost of 112.75095</v>
      </c>
      <c r="AC42" s="7" t="str">
        <f t="shared" si="23"/>
        <v>Bought 197.508274321656 Shares of State 2 at a cost of 112.75095</v>
      </c>
      <c r="AD42" s="185" t="str">
        <f t="shared" si="24"/>
        <v>Bought 29.3413730393452 Shares of State 1 at a cost of 112.75095Bought 197.508274321656 Shares of State 2 at a cost of 112.75095</v>
      </c>
      <c r="AE42" s="187">
        <f t="shared" si="17"/>
        <v>0.48020808423202188</v>
      </c>
      <c r="AF42" s="187">
        <f t="shared" si="18"/>
        <v>0.51979191576797812</v>
      </c>
      <c r="AG42" s="187">
        <f t="shared" si="19"/>
        <v>0.7826507173822288</v>
      </c>
      <c r="AH42" s="187">
        <f t="shared" si="20"/>
        <v>0.21734928261777114</v>
      </c>
    </row>
    <row r="43" spans="3:34" s="7" customFormat="1" ht="18.75" x14ac:dyDescent="0.3">
      <c r="C43" s="21" t="s">
        <v>165</v>
      </c>
      <c r="D43" s="1308">
        <v>43118</v>
      </c>
      <c r="E43" s="233">
        <v>586.30708878271764</v>
      </c>
      <c r="F43" s="232">
        <v>757.38965793792534</v>
      </c>
      <c r="G43" s="231">
        <v>0</v>
      </c>
      <c r="H43" s="230">
        <v>549.29024948204483</v>
      </c>
      <c r="I43" s="229">
        <f t="shared" si="0"/>
        <v>0.2158817845739576</v>
      </c>
      <c r="J43" s="228">
        <f t="shared" si="1"/>
        <v>0.6050728419510264</v>
      </c>
      <c r="K43" s="227">
        <f t="shared" si="2"/>
        <v>6.3139441828181141E-3</v>
      </c>
      <c r="L43" s="226">
        <f t="shared" si="3"/>
        <v>0.17273142929219792</v>
      </c>
      <c r="M43" s="1118">
        <f t="shared" si="5"/>
        <v>0.82095462652498397</v>
      </c>
      <c r="N43" s="217">
        <f t="shared" si="6"/>
        <v>0.17904537347501603</v>
      </c>
      <c r="O43" s="1101">
        <f t="shared" si="7"/>
        <v>0.22219572875677571</v>
      </c>
      <c r="P43" s="1114">
        <f t="shared" si="8"/>
        <v>0.77780427124322427</v>
      </c>
      <c r="Q43" s="1109">
        <f t="shared" si="9"/>
        <v>2.8416136611381981E-2</v>
      </c>
      <c r="R43" s="1126">
        <f t="shared" si="10"/>
        <v>0.22207570166220356</v>
      </c>
      <c r="S43" s="1109">
        <f t="shared" si="11"/>
        <v>3.3639745573463351</v>
      </c>
      <c r="T43" s="1105">
        <f t="shared" si="4"/>
        <v>12.65963367978577</v>
      </c>
      <c r="U43" s="82">
        <f t="shared" si="12"/>
        <v>840.78912503236086</v>
      </c>
      <c r="V43" s="49">
        <f t="shared" si="21"/>
        <v>340.13646177045939</v>
      </c>
      <c r="W43" s="194"/>
      <c r="X43" s="114">
        <f>E43-E35</f>
        <v>414.37273624292914</v>
      </c>
      <c r="Y43" s="100">
        <f>H43-H35</f>
        <v>313.58373932216472</v>
      </c>
      <c r="Z43" s="182">
        <f t="shared" si="13"/>
        <v>340.13646177045939</v>
      </c>
      <c r="AB43" s="7" t="str">
        <f t="shared" ref="AB43:AB50" si="25">IF(X43&gt;0,"Bought ",IF(X43&lt;0,"Sold ",""))&amp;IF(X43&lt;0,X43*-1,IF(X43&gt;0,X43,""))&amp;IF(X43&lt;&gt;0," Shares of State 1 at a cost of "&amp;ROUND($Z43,5),"")</f>
        <v>Bought 414.372736242929 Shares of State 1 at a cost of 340.13646</v>
      </c>
      <c r="AC43" s="7" t="str">
        <f t="shared" ref="AC43:AC50" si="26">IF(Y43&gt;0,"Bought ",IF(Y43&lt;0,"Sold ",""))&amp;IF(Y43&lt;0,Y43*-1,IF(Y43&gt;0,Y43,""))&amp;IF(Y43&lt;&gt;0," Shares of State 2 at a cost of "&amp;ROUND($Z43,5),"")</f>
        <v>Bought 313.583739322165 Shares of State 2 at a cost of 340.13646</v>
      </c>
      <c r="AD43" s="185" t="str">
        <f t="shared" ref="AD43:AD50" si="27">AB43&amp;AC43</f>
        <v>Bought 414.372736242929 Shares of State 1 at a cost of 340.13646Bought 313.583739322165 Shares of State 2 at a cost of 340.13646</v>
      </c>
      <c r="AE43" s="187">
        <f t="shared" si="17"/>
        <v>0.22219572875677571</v>
      </c>
      <c r="AF43" s="187">
        <f t="shared" si="18"/>
        <v>0.77780427124322427</v>
      </c>
      <c r="AG43" s="187">
        <f t="shared" si="19"/>
        <v>0.82095462652498397</v>
      </c>
      <c r="AH43" s="187">
        <f t="shared" si="20"/>
        <v>0.17904537347501603</v>
      </c>
    </row>
    <row r="44" spans="3:34" s="7" customFormat="1" ht="18.75" x14ac:dyDescent="0.3">
      <c r="C44" s="21" t="s">
        <v>165</v>
      </c>
      <c r="D44" s="1308">
        <v>43119</v>
      </c>
      <c r="E44" s="233">
        <v>658.19746818570889</v>
      </c>
      <c r="F44" s="232">
        <v>869.89542727231128</v>
      </c>
      <c r="G44" s="231">
        <v>0</v>
      </c>
      <c r="H44" s="230">
        <v>642.77510659253358</v>
      </c>
      <c r="I44" s="229">
        <f t="shared" si="0"/>
        <v>0.18148879577867977</v>
      </c>
      <c r="J44" s="228">
        <f t="shared" si="1"/>
        <v>0.64968188195586607</v>
      </c>
      <c r="K44" s="227">
        <f t="shared" si="2"/>
        <v>3.4423312523085836E-3</v>
      </c>
      <c r="L44" s="226">
        <f t="shared" si="3"/>
        <v>0.16538699101314563</v>
      </c>
      <c r="M44" s="1118">
        <f t="shared" si="5"/>
        <v>0.83117067773454578</v>
      </c>
      <c r="N44" s="217">
        <f t="shared" si="6"/>
        <v>0.16882932226545422</v>
      </c>
      <c r="O44" s="1101">
        <f t="shared" si="7"/>
        <v>0.18493112703098835</v>
      </c>
      <c r="P44" s="1114">
        <f t="shared" si="8"/>
        <v>0.81506887296901165</v>
      </c>
      <c r="Q44" s="1109">
        <f t="shared" si="9"/>
        <v>1.8614125742778622E-2</v>
      </c>
      <c r="R44" s="1126">
        <f t="shared" si="10"/>
        <v>0.2029116759307695</v>
      </c>
      <c r="S44" s="1109">
        <f t="shared" si="11"/>
        <v>2.8934780356533736</v>
      </c>
      <c r="T44" s="1105">
        <f t="shared" si="4"/>
        <v>11.739760444676936</v>
      </c>
      <c r="U44" s="82">
        <f t="shared" si="12"/>
        <v>941.48665368502702</v>
      </c>
      <c r="V44" s="49">
        <f t="shared" si="21"/>
        <v>100.69752865266616</v>
      </c>
      <c r="W44" s="194"/>
      <c r="X44" s="114">
        <f>E44-E43</f>
        <v>71.890379402991243</v>
      </c>
      <c r="Y44" s="100">
        <f>H44-H43</f>
        <v>93.484857110488747</v>
      </c>
      <c r="Z44" s="182">
        <f t="shared" si="13"/>
        <v>100.69752865266616</v>
      </c>
      <c r="AB44" s="7" t="str">
        <f t="shared" si="25"/>
        <v>Bought 71.8903794029912 Shares of State 1 at a cost of 100.69753</v>
      </c>
      <c r="AC44" s="7" t="str">
        <f t="shared" si="26"/>
        <v>Bought 93.4848571104887 Shares of State 2 at a cost of 100.69753</v>
      </c>
      <c r="AD44" s="185" t="str">
        <f t="shared" si="27"/>
        <v>Bought 71.8903794029912 Shares of State 1 at a cost of 100.69753Bought 93.4848571104887 Shares of State 2 at a cost of 100.69753</v>
      </c>
      <c r="AE44" s="187">
        <f t="shared" si="17"/>
        <v>0.18493112703098835</v>
      </c>
      <c r="AF44" s="187">
        <f t="shared" si="18"/>
        <v>0.81506887296901165</v>
      </c>
      <c r="AG44" s="187">
        <f t="shared" si="19"/>
        <v>0.83117067773454578</v>
      </c>
      <c r="AH44" s="187">
        <f t="shared" si="20"/>
        <v>0.16882932226545422</v>
      </c>
    </row>
    <row r="45" spans="3:34" s="7" customFormat="1" ht="18.75" x14ac:dyDescent="0.3">
      <c r="C45" s="21" t="s">
        <v>165</v>
      </c>
      <c r="D45" s="1308">
        <v>43120</v>
      </c>
      <c r="E45" s="233">
        <v>728.21351420508313</v>
      </c>
      <c r="F45" s="232">
        <v>1062.0893788940514</v>
      </c>
      <c r="G45" s="231">
        <v>0</v>
      </c>
      <c r="H45" s="230">
        <v>801.55283306940419</v>
      </c>
      <c r="I45" s="229">
        <f t="shared" si="0"/>
        <v>9.9591887646672345E-2</v>
      </c>
      <c r="J45" s="228">
        <f t="shared" si="1"/>
        <v>0.74425305272586184</v>
      </c>
      <c r="K45" s="227">
        <f t="shared" si="2"/>
        <v>1.2389352149660962E-3</v>
      </c>
      <c r="L45" s="226">
        <f t="shared" si="3"/>
        <v>0.15491612441249972</v>
      </c>
      <c r="M45" s="1118">
        <f t="shared" si="5"/>
        <v>0.84384494037253421</v>
      </c>
      <c r="N45" s="217">
        <f t="shared" si="6"/>
        <v>0.15615505962746581</v>
      </c>
      <c r="O45" s="1101">
        <f t="shared" si="7"/>
        <v>0.10083082286163844</v>
      </c>
      <c r="P45" s="1114">
        <f t="shared" si="8"/>
        <v>0.89916917713836153</v>
      </c>
      <c r="Q45" s="1109">
        <f t="shared" si="9"/>
        <v>1.2287266728609183E-2</v>
      </c>
      <c r="R45" s="1126">
        <f t="shared" si="10"/>
        <v>0.17228807253549983</v>
      </c>
      <c r="S45" s="1109">
        <f t="shared" si="11"/>
        <v>2.5897888029732408</v>
      </c>
      <c r="T45" s="1105">
        <f t="shared" si="4"/>
        <v>10.269827481703992</v>
      </c>
      <c r="U45" s="82">
        <f t="shared" si="12"/>
        <v>1111.121492333617</v>
      </c>
      <c r="V45" s="49">
        <f t="shared" si="21"/>
        <v>169.63483864858995</v>
      </c>
      <c r="W45" s="194"/>
      <c r="X45" s="114">
        <f>E45-E44</f>
        <v>70.016046019374244</v>
      </c>
      <c r="Y45" s="100">
        <f>H45-H44</f>
        <v>158.77772647687061</v>
      </c>
      <c r="Z45" s="182">
        <f t="shared" si="13"/>
        <v>169.63483864858995</v>
      </c>
      <c r="AB45" s="7" t="str">
        <f t="shared" si="25"/>
        <v>Bought 70.0160460193742 Shares of State 1 at a cost of 169.63484</v>
      </c>
      <c r="AC45" s="7" t="str">
        <f t="shared" si="26"/>
        <v>Bought 158.777726476871 Shares of State 2 at a cost of 169.63484</v>
      </c>
      <c r="AD45" s="185" t="str">
        <f t="shared" si="27"/>
        <v>Bought 70.0160460193742 Shares of State 1 at a cost of 169.63484Bought 158.777726476871 Shares of State 2 at a cost of 169.63484</v>
      </c>
      <c r="AE45" s="187">
        <f t="shared" si="17"/>
        <v>0.10083082286163844</v>
      </c>
      <c r="AF45" s="187">
        <f t="shared" si="18"/>
        <v>0.89916917713836153</v>
      </c>
      <c r="AG45" s="187">
        <f t="shared" si="19"/>
        <v>0.84384494037253421</v>
      </c>
      <c r="AH45" s="187">
        <f t="shared" si="20"/>
        <v>0.15615505962746581</v>
      </c>
    </row>
    <row r="46" spans="3:34" s="7" customFormat="1" ht="18.75" x14ac:dyDescent="0.3">
      <c r="C46" s="21" t="s">
        <v>165</v>
      </c>
      <c r="D46" s="1308">
        <v>43121</v>
      </c>
      <c r="E46" s="233">
        <v>901.50594784393945</v>
      </c>
      <c r="F46" s="232">
        <v>1290.707514426897</v>
      </c>
      <c r="G46" s="231">
        <v>0</v>
      </c>
      <c r="H46" s="230">
        <v>1116.4620322406329</v>
      </c>
      <c r="I46" s="229">
        <f t="shared" si="0"/>
        <v>6.6295226877183297E-2</v>
      </c>
      <c r="J46" s="228">
        <f t="shared" si="1"/>
        <v>0.69139109815077826</v>
      </c>
      <c r="K46" s="227">
        <f t="shared" si="2"/>
        <v>2.9035794612013632E-4</v>
      </c>
      <c r="L46" s="226">
        <f t="shared" si="3"/>
        <v>0.24202331702591839</v>
      </c>
      <c r="M46" s="1118">
        <f t="shared" si="5"/>
        <v>0.75768632502796152</v>
      </c>
      <c r="N46" s="217">
        <f t="shared" si="6"/>
        <v>0.24231367497203854</v>
      </c>
      <c r="O46" s="1101">
        <f t="shared" si="7"/>
        <v>6.6585584823303429E-2</v>
      </c>
      <c r="P46" s="1114">
        <f t="shared" si="8"/>
        <v>0.93341441517669665</v>
      </c>
      <c r="Q46" s="1109">
        <f t="shared" si="9"/>
        <v>4.3606727625904651E-3</v>
      </c>
      <c r="R46" s="1126">
        <f t="shared" si="10"/>
        <v>0.25928817156750578</v>
      </c>
      <c r="S46" s="1109">
        <f t="shared" si="11"/>
        <v>2.2093122926043423</v>
      </c>
      <c r="T46" s="1105">
        <f t="shared" si="4"/>
        <v>14.445832235240278</v>
      </c>
      <c r="U46" s="82">
        <f t="shared" si="12"/>
        <v>1351.9697524565818</v>
      </c>
      <c r="V46" s="49">
        <f t="shared" si="21"/>
        <v>240.8482601229648</v>
      </c>
      <c r="W46" s="194"/>
      <c r="X46" s="114">
        <f>E46-E43</f>
        <v>315.19885906122181</v>
      </c>
      <c r="Y46" s="100">
        <f>H46-H43</f>
        <v>567.17178275858805</v>
      </c>
      <c r="Z46" s="182">
        <f t="shared" si="13"/>
        <v>240.8482601229648</v>
      </c>
      <c r="AB46" s="7" t="str">
        <f t="shared" si="25"/>
        <v>Bought 315.198859061222 Shares of State 1 at a cost of 240.84826</v>
      </c>
      <c r="AC46" s="7" t="str">
        <f t="shared" si="26"/>
        <v>Bought 567.171782758588 Shares of State 2 at a cost of 240.84826</v>
      </c>
      <c r="AD46" s="185" t="str">
        <f t="shared" si="27"/>
        <v>Bought 315.198859061222 Shares of State 1 at a cost of 240.84826Bought 567.171782758588 Shares of State 2 at a cost of 240.84826</v>
      </c>
      <c r="AE46" s="187">
        <f t="shared" si="17"/>
        <v>6.6585584823303429E-2</v>
      </c>
      <c r="AF46" s="187">
        <f t="shared" si="18"/>
        <v>0.93341441517669665</v>
      </c>
      <c r="AG46" s="187">
        <f t="shared" si="19"/>
        <v>0.75768632502796152</v>
      </c>
      <c r="AH46" s="187">
        <f t="shared" si="20"/>
        <v>0.24231367497203854</v>
      </c>
    </row>
    <row r="47" spans="3:34" s="7" customFormat="1" ht="18.75" x14ac:dyDescent="0.3">
      <c r="C47" s="21" t="s">
        <v>171</v>
      </c>
      <c r="D47" s="1308">
        <v>43122</v>
      </c>
      <c r="E47" s="233">
        <v>885.34253920199694</v>
      </c>
      <c r="F47" s="232">
        <v>1167.1893031193376</v>
      </c>
      <c r="G47" s="231">
        <v>0</v>
      </c>
      <c r="H47" s="230">
        <v>1009.235230295761</v>
      </c>
      <c r="I47" s="229">
        <f t="shared" si="0"/>
        <v>0.11659892447423695</v>
      </c>
      <c r="J47" s="228">
        <f t="shared" si="1"/>
        <v>0.63689965876473331</v>
      </c>
      <c r="K47" s="227">
        <f t="shared" si="2"/>
        <v>5.6290255892072405E-4</v>
      </c>
      <c r="L47" s="226">
        <f t="shared" si="3"/>
        <v>0.24593851420210899</v>
      </c>
      <c r="M47" s="1118">
        <f t="shared" si="5"/>
        <v>0.75349858323897023</v>
      </c>
      <c r="N47" s="217">
        <f t="shared" si="6"/>
        <v>0.24650141676102971</v>
      </c>
      <c r="O47" s="1101">
        <f t="shared" si="7"/>
        <v>0.11716182703315767</v>
      </c>
      <c r="P47" s="1114">
        <f t="shared" si="8"/>
        <v>0.88283817296684231</v>
      </c>
      <c r="Q47" s="1109">
        <f t="shared" si="9"/>
        <v>4.8044877173297959E-3</v>
      </c>
      <c r="R47" s="1126">
        <f t="shared" si="10"/>
        <v>0.27857711835863941</v>
      </c>
      <c r="S47" s="1109">
        <f t="shared" si="11"/>
        <v>2.2306154104318301</v>
      </c>
      <c r="T47" s="1105">
        <f t="shared" si="4"/>
        <v>15.371701681214692</v>
      </c>
      <c r="U47" s="82">
        <f t="shared" si="12"/>
        <v>1242.079067244455</v>
      </c>
      <c r="V47" s="49">
        <f t="shared" si="21"/>
        <v>-109.89068521212675</v>
      </c>
      <c r="W47" s="194"/>
      <c r="X47" s="114">
        <f>E47-E46</f>
        <v>-16.16340864194251</v>
      </c>
      <c r="Y47" s="100">
        <f>H47-H46</f>
        <v>-107.22680194487191</v>
      </c>
      <c r="Z47" s="182">
        <f t="shared" si="13"/>
        <v>-109.89068521212675</v>
      </c>
      <c r="AB47" s="7" t="str">
        <f t="shared" si="25"/>
        <v>Sold 16.1634086419425 Shares of State 1 at a cost of -109.89069</v>
      </c>
      <c r="AC47" s="7" t="str">
        <f t="shared" si="26"/>
        <v>Sold 107.226801944872 Shares of State 2 at a cost of -109.89069</v>
      </c>
      <c r="AD47" s="185" t="str">
        <f t="shared" si="27"/>
        <v>Sold 16.1634086419425 Shares of State 1 at a cost of -109.89069Sold 107.226801944872 Shares of State 2 at a cost of -109.89069</v>
      </c>
      <c r="AE47" s="187">
        <f t="shared" si="17"/>
        <v>0.11716182703315767</v>
      </c>
      <c r="AF47" s="187">
        <f t="shared" si="18"/>
        <v>0.88283817296684231</v>
      </c>
      <c r="AG47" s="187">
        <f t="shared" si="19"/>
        <v>0.75349858323897023</v>
      </c>
      <c r="AH47" s="187">
        <f t="shared" si="20"/>
        <v>0.24650141676102971</v>
      </c>
    </row>
    <row r="48" spans="3:34" s="7" customFormat="1" ht="18.75" x14ac:dyDescent="0.3">
      <c r="C48" s="21" t="s">
        <v>165</v>
      </c>
      <c r="D48" s="1308">
        <v>43123</v>
      </c>
      <c r="E48" s="233">
        <v>907.36769431793448</v>
      </c>
      <c r="F48" s="232">
        <v>1220.9733319254351</v>
      </c>
      <c r="G48" s="231">
        <v>0</v>
      </c>
      <c r="H48" s="230">
        <v>1052.7883760624388</v>
      </c>
      <c r="I48" s="229">
        <f t="shared" si="0"/>
        <v>9.980454318987296E-2</v>
      </c>
      <c r="J48" s="228">
        <f t="shared" si="1"/>
        <v>0.66010855133943136</v>
      </c>
      <c r="K48" s="227">
        <f t="shared" si="2"/>
        <v>4.2195494228948764E-4</v>
      </c>
      <c r="L48" s="226">
        <f t="shared" si="3"/>
        <v>0.23966495052840611</v>
      </c>
      <c r="M48" s="1118">
        <f t="shared" si="5"/>
        <v>0.75991309452930433</v>
      </c>
      <c r="N48" s="217">
        <f t="shared" si="6"/>
        <v>0.24008690547069561</v>
      </c>
      <c r="O48" s="1101">
        <f t="shared" si="7"/>
        <v>0.10022649813216244</v>
      </c>
      <c r="P48" s="1114">
        <f t="shared" si="8"/>
        <v>0.89977350186783744</v>
      </c>
      <c r="Q48" s="1109">
        <f t="shared" si="9"/>
        <v>4.2100138202282788E-3</v>
      </c>
      <c r="R48" s="1126">
        <f t="shared" si="10"/>
        <v>0.26636142321471601</v>
      </c>
      <c r="S48" s="1109">
        <f t="shared" si="11"/>
        <v>2.2020806633709573</v>
      </c>
      <c r="T48" s="1105">
        <f t="shared" si="4"/>
        <v>14.785348314306368</v>
      </c>
      <c r="U48" s="82">
        <f t="shared" si="12"/>
        <v>1289.92159556147</v>
      </c>
      <c r="V48" s="49">
        <f>(U48-U47)</f>
        <v>47.842528317014967</v>
      </c>
      <c r="W48" s="194"/>
      <c r="X48" s="114">
        <f>E48-E43</f>
        <v>321.06060553521684</v>
      </c>
      <c r="Y48" s="100">
        <f>H48-H43</f>
        <v>503.498126580394</v>
      </c>
      <c r="Z48" s="182">
        <f t="shared" si="13"/>
        <v>47.842528317014967</v>
      </c>
      <c r="AB48" s="7" t="str">
        <f t="shared" si="25"/>
        <v>Bought 321.060605535217 Shares of State 1 at a cost of 47.84253</v>
      </c>
      <c r="AC48" s="7" t="str">
        <f t="shared" si="26"/>
        <v>Bought 503.498126580394 Shares of State 2 at a cost of 47.84253</v>
      </c>
      <c r="AD48" s="185" t="str">
        <f t="shared" si="27"/>
        <v>Bought 321.060605535217 Shares of State 1 at a cost of 47.84253Bought 503.498126580394 Shares of State 2 at a cost of 47.84253</v>
      </c>
      <c r="AE48" s="187">
        <f t="shared" si="17"/>
        <v>0.10022649813216244</v>
      </c>
      <c r="AF48" s="187">
        <f t="shared" si="18"/>
        <v>0.89977350186783744</v>
      </c>
      <c r="AG48" s="187">
        <f t="shared" si="19"/>
        <v>0.75991309452930433</v>
      </c>
      <c r="AH48" s="187">
        <f t="shared" si="20"/>
        <v>0.24008690547069561</v>
      </c>
    </row>
    <row r="49" spans="3:34" s="7" customFormat="1" ht="18.75" x14ac:dyDescent="0.3">
      <c r="C49" s="21" t="s">
        <v>165</v>
      </c>
      <c r="D49" s="1308">
        <v>43124</v>
      </c>
      <c r="E49" s="233">
        <v>924.42140600689493</v>
      </c>
      <c r="F49" s="232">
        <v>1219.7073739331827</v>
      </c>
      <c r="G49" s="231">
        <v>0</v>
      </c>
      <c r="H49" s="230">
        <v>1044.4301297458805</v>
      </c>
      <c r="I49" s="229">
        <f t="shared" si="0"/>
        <v>0.11126892865953956</v>
      </c>
      <c r="J49" s="228">
        <f t="shared" si="1"/>
        <v>0.65903799205703983</v>
      </c>
      <c r="K49" s="227">
        <f t="shared" si="2"/>
        <v>4.2449561681152752E-4</v>
      </c>
      <c r="L49" s="226">
        <f t="shared" si="3"/>
        <v>0.22926858366660893</v>
      </c>
      <c r="M49" s="1118">
        <f t="shared" si="5"/>
        <v>0.77030692071657936</v>
      </c>
      <c r="N49" s="217">
        <f t="shared" si="6"/>
        <v>0.22969307928342045</v>
      </c>
      <c r="O49" s="1101">
        <f t="shared" si="7"/>
        <v>0.11169342427635109</v>
      </c>
      <c r="P49" s="1114">
        <f t="shared" si="8"/>
        <v>0.88830657572364879</v>
      </c>
      <c r="Q49" s="1109">
        <f t="shared" si="9"/>
        <v>3.8005425973980655E-3</v>
      </c>
      <c r="R49" s="1126">
        <f t="shared" si="10"/>
        <v>0.25809623606561494</v>
      </c>
      <c r="S49" s="1109">
        <f t="shared" si="11"/>
        <v>2.1824260446751071</v>
      </c>
      <c r="T49" s="1105">
        <f t="shared" si="4"/>
        <v>14.388619331149517</v>
      </c>
      <c r="U49" s="82">
        <f t="shared" si="12"/>
        <v>1288.9250737145521</v>
      </c>
      <c r="V49" s="49">
        <f>(U49-U48)</f>
        <v>-0.99652184691785806</v>
      </c>
      <c r="W49" s="194"/>
      <c r="X49" s="114">
        <f>E49-E48</f>
        <v>17.053711688960448</v>
      </c>
      <c r="Y49" s="100">
        <f>H49-H48</f>
        <v>-8.3582463165582794</v>
      </c>
      <c r="Z49" s="182">
        <f t="shared" si="13"/>
        <v>-0.99652184691785806</v>
      </c>
      <c r="AB49" s="7" t="str">
        <f t="shared" si="25"/>
        <v>Bought 17.0537116889604 Shares of State 1 at a cost of -0.99652</v>
      </c>
      <c r="AC49" s="7" t="str">
        <f t="shared" si="26"/>
        <v>Sold 8.35824631655828 Shares of State 2 at a cost of -0.99652</v>
      </c>
      <c r="AD49" s="185" t="str">
        <f t="shared" si="27"/>
        <v>Bought 17.0537116889604 Shares of State 1 at a cost of -0.99652Sold 8.35824631655828 Shares of State 2 at a cost of -0.99652</v>
      </c>
      <c r="AE49" s="187">
        <f t="shared" si="17"/>
        <v>0.11169342427635109</v>
      </c>
      <c r="AF49" s="187">
        <f t="shared" si="18"/>
        <v>0.88830657572364879</v>
      </c>
      <c r="AG49" s="187">
        <f t="shared" si="19"/>
        <v>0.77030692071657936</v>
      </c>
      <c r="AH49" s="187">
        <f t="shared" si="20"/>
        <v>0.22969307928342045</v>
      </c>
    </row>
    <row r="50" spans="3:34" s="7" customFormat="1" ht="19.5" thickBot="1" x14ac:dyDescent="0.35">
      <c r="C50" s="21" t="s">
        <v>165</v>
      </c>
      <c r="D50" s="1308">
        <v>43125</v>
      </c>
      <c r="E50" s="225">
        <v>933.43672883384318</v>
      </c>
      <c r="F50" s="224">
        <v>1236.0391790474396</v>
      </c>
      <c r="G50" s="223">
        <v>0</v>
      </c>
      <c r="H50" s="222">
        <v>1053.707972580542</v>
      </c>
      <c r="I50" s="221">
        <f t="shared" si="0"/>
        <v>0.10802417502524053</v>
      </c>
      <c r="J50" s="220">
        <f t="shared" si="1"/>
        <v>0.6686504126712346</v>
      </c>
      <c r="K50" s="219">
        <f t="shared" si="2"/>
        <v>3.9033193775899795E-4</v>
      </c>
      <c r="L50" s="218">
        <f t="shared" si="3"/>
        <v>0.22293508036576601</v>
      </c>
      <c r="M50" s="1119">
        <f t="shared" si="5"/>
        <v>0.77667458769647513</v>
      </c>
      <c r="N50" s="283">
        <f t="shared" si="6"/>
        <v>0.22332541230352501</v>
      </c>
      <c r="O50" s="1102">
        <f t="shared" si="7"/>
        <v>0.10841450696299954</v>
      </c>
      <c r="P50" s="1104">
        <f t="shared" si="8"/>
        <v>0.89158549303700063</v>
      </c>
      <c r="Q50" s="1127">
        <f t="shared" si="9"/>
        <v>3.6003663042272855E-3</v>
      </c>
      <c r="R50" s="1128">
        <f t="shared" si="10"/>
        <v>0.25004341379129441</v>
      </c>
      <c r="S50" s="1110">
        <f t="shared" si="11"/>
        <v>2.1728175826029097</v>
      </c>
      <c r="T50" s="1106">
        <f t="shared" si="4"/>
        <v>14.002083861982133</v>
      </c>
      <c r="U50" s="112">
        <f t="shared" si="12"/>
        <v>1302.8531676912366</v>
      </c>
      <c r="V50" s="113">
        <f>(U50-U49)</f>
        <v>13.928093976684522</v>
      </c>
      <c r="W50" s="194"/>
      <c r="X50" s="119">
        <f>E50-E49</f>
        <v>9.0153228269482497</v>
      </c>
      <c r="Y50" s="102">
        <f>H50-H49</f>
        <v>9.2778428346614419</v>
      </c>
      <c r="Z50" s="182">
        <f t="shared" si="13"/>
        <v>13.928093976684522</v>
      </c>
      <c r="AB50" s="7" t="str">
        <f t="shared" si="25"/>
        <v>Bought 9.01532282694825 Shares of State 1 at a cost of 13.92809</v>
      </c>
      <c r="AC50" s="7" t="str">
        <f t="shared" si="26"/>
        <v>Bought 9.27784283466144 Shares of State 2 at a cost of 13.92809</v>
      </c>
      <c r="AD50" s="185" t="str">
        <f t="shared" si="27"/>
        <v>Bought 9.01532282694825 Shares of State 1 at a cost of 13.92809Bought 9.27784283466144 Shares of State 2 at a cost of 13.92809</v>
      </c>
      <c r="AE50" s="187">
        <f t="shared" si="17"/>
        <v>0.10841450696299954</v>
      </c>
      <c r="AF50" s="187">
        <f t="shared" si="18"/>
        <v>0.89158549303700063</v>
      </c>
      <c r="AG50" s="187">
        <f t="shared" si="19"/>
        <v>0.77667458769647513</v>
      </c>
      <c r="AH50" s="187">
        <f t="shared" si="20"/>
        <v>0.22332541230352501</v>
      </c>
    </row>
    <row r="51" spans="3:34" s="7" customFormat="1" ht="16.5" thickTop="1" thickBot="1" x14ac:dyDescent="0.3">
      <c r="D51" s="25" t="s">
        <v>97</v>
      </c>
      <c r="E51" s="215">
        <v>510</v>
      </c>
      <c r="F51" s="214">
        <f>F50</f>
        <v>1236.0391790474396</v>
      </c>
      <c r="G51" s="213">
        <f>G50</f>
        <v>0</v>
      </c>
      <c r="H51" s="212">
        <f>H50</f>
        <v>1053.707972580542</v>
      </c>
      <c r="I51" s="429">
        <f>F55*F54</f>
        <v>0</v>
      </c>
      <c r="J51" s="429">
        <f>F54*E55</f>
        <v>0.48531250000000004</v>
      </c>
      <c r="K51" s="429">
        <f>E54*F55</f>
        <v>0</v>
      </c>
      <c r="L51" s="429">
        <f>E54*E55</f>
        <v>0.51468749999999996</v>
      </c>
      <c r="M51" s="1120">
        <f t="shared" si="5"/>
        <v>0.48531250000000004</v>
      </c>
      <c r="N51" s="280">
        <f t="shared" si="6"/>
        <v>0.51468749999999996</v>
      </c>
      <c r="O51" s="1103">
        <f t="shared" si="7"/>
        <v>0</v>
      </c>
      <c r="P51" s="1115">
        <f t="shared" si="8"/>
        <v>1</v>
      </c>
      <c r="Q51" s="1129"/>
      <c r="R51" s="1130"/>
      <c r="S51" s="1111"/>
      <c r="T51" s="1107"/>
      <c r="U51" s="83">
        <f t="shared" si="12"/>
        <v>1285.4377449697758</v>
      </c>
      <c r="V51" s="8" t="s">
        <v>108</v>
      </c>
      <c r="AC51" s="8"/>
      <c r="AD51" s="8"/>
      <c r="AE51" s="8"/>
    </row>
    <row r="52" spans="3:34" s="7" customFormat="1" ht="15.75" thickBot="1" x14ac:dyDescent="0.3">
      <c r="C52"/>
      <c r="D52"/>
      <c r="E52" s="33"/>
      <c r="F52" s="33"/>
      <c r="G52" s="33"/>
      <c r="H52" s="33"/>
      <c r="I52" s="33"/>
      <c r="J52" s="33"/>
      <c r="K52" s="33"/>
      <c r="L52" s="33"/>
      <c r="M52" s="33"/>
      <c r="N52" s="33"/>
      <c r="O52" s="33"/>
      <c r="P52" s="33"/>
      <c r="Q52" s="33"/>
      <c r="R52" s="33"/>
      <c r="S52" s="33"/>
      <c r="T52" s="33"/>
      <c r="U52" s="244">
        <f>SUMPRODUCT(E51:H51,I51:L51)</f>
        <v>1142.1955862190082</v>
      </c>
      <c r="V52" t="s">
        <v>109</v>
      </c>
      <c r="AC52"/>
      <c r="AD52"/>
      <c r="AE52"/>
    </row>
    <row r="53" spans="3:34" s="7" customFormat="1" ht="15.75" thickBot="1" x14ac:dyDescent="0.3">
      <c r="C53" s="1"/>
      <c r="D53" s="150" t="s">
        <v>170</v>
      </c>
      <c r="E53" s="287" t="s">
        <v>150</v>
      </c>
      <c r="F53" s="237" t="s">
        <v>167</v>
      </c>
      <c r="G53" s="140"/>
      <c r="H53" s="17"/>
      <c r="I53" s="464">
        <f>F54*F55</f>
        <v>0</v>
      </c>
      <c r="J53" s="464">
        <f>F54*E55</f>
        <v>0.48531250000000004</v>
      </c>
      <c r="K53" s="464">
        <f>E54*F55</f>
        <v>0</v>
      </c>
      <c r="L53" s="464">
        <f>E54*E55</f>
        <v>0.51468749999999996</v>
      </c>
      <c r="M53" s="17"/>
      <c r="N53" s="17"/>
      <c r="O53" s="17" t="s">
        <v>126</v>
      </c>
      <c r="P53" s="207">
        <f>SUM(M49:P49)</f>
        <v>1.9999999999999996</v>
      </c>
      <c r="Q53" s="207"/>
      <c r="R53" s="207"/>
      <c r="S53" s="17"/>
      <c r="T53" s="17"/>
      <c r="U53" s="244">
        <f>U51-U52</f>
        <v>143.24215875076766</v>
      </c>
      <c r="V53" s="7" t="s">
        <v>788</v>
      </c>
    </row>
    <row r="54" spans="3:34" s="7" customFormat="1" x14ac:dyDescent="0.25">
      <c r="C54" s="5" t="s">
        <v>168</v>
      </c>
      <c r="D54" s="462">
        <v>26.704999999999998</v>
      </c>
      <c r="E54" s="506">
        <f>(D54-E7)/(E8-E7)</f>
        <v>0.51468749999999996</v>
      </c>
      <c r="F54" s="507">
        <f>1-E54</f>
        <v>0.48531250000000004</v>
      </c>
      <c r="H54" s="33"/>
      <c r="J54" s="33"/>
      <c r="K54" s="33"/>
      <c r="L54" s="33"/>
      <c r="M54" s="17"/>
      <c r="N54" s="17"/>
      <c r="O54" s="17"/>
      <c r="P54" s="207">
        <f>SUM(M50:P50)</f>
        <v>2.0000000000000004</v>
      </c>
      <c r="Q54" s="207"/>
      <c r="R54" s="207"/>
      <c r="S54" s="17"/>
      <c r="T54" s="17"/>
      <c r="U54" s="194">
        <f>E21-U53</f>
        <v>86.882705195134179</v>
      </c>
      <c r="V54" s="1240" t="s">
        <v>787</v>
      </c>
      <c r="AA54" s="8"/>
      <c r="AB54" s="8"/>
      <c r="AC54" s="8"/>
      <c r="AD54" s="28"/>
      <c r="AE54" s="28"/>
    </row>
    <row r="55" spans="3:34" ht="15.75" thickBot="1" x14ac:dyDescent="0.3">
      <c r="C55" s="288" t="s">
        <v>169</v>
      </c>
      <c r="D55" s="463">
        <v>1</v>
      </c>
      <c r="E55" s="508">
        <v>1</v>
      </c>
      <c r="F55" s="509">
        <v>0</v>
      </c>
      <c r="G55" s="17"/>
      <c r="P55" s="207">
        <f>SUM(M51:P51)</f>
        <v>2</v>
      </c>
      <c r="Q55" s="207"/>
      <c r="R55" s="207"/>
      <c r="V55" s="188"/>
    </row>
    <row r="56" spans="3:34" x14ac:dyDescent="0.25">
      <c r="C56" s="17"/>
      <c r="D56" s="207"/>
      <c r="E56" s="17"/>
      <c r="F56" s="7"/>
      <c r="G56" s="17"/>
    </row>
    <row r="57" spans="3:34" hidden="1" x14ac:dyDescent="0.25">
      <c r="G57" s="188"/>
      <c r="H57" s="188"/>
      <c r="S57" s="188"/>
    </row>
    <row r="58" spans="3:34" hidden="1" x14ac:dyDescent="0.25">
      <c r="D58" s="33"/>
      <c r="E58" s="33" t="s">
        <v>503</v>
      </c>
      <c r="F58" s="188"/>
      <c r="G58" s="188"/>
      <c r="J58" s="33" t="s">
        <v>622</v>
      </c>
      <c r="O58" s="33" t="s">
        <v>637</v>
      </c>
      <c r="S58" s="188"/>
    </row>
    <row r="59" spans="3:34" hidden="1" x14ac:dyDescent="0.25">
      <c r="D59" s="33"/>
      <c r="E59" s="188" t="s">
        <v>623</v>
      </c>
      <c r="F59" s="33" t="s">
        <v>636</v>
      </c>
      <c r="G59" s="33" t="s">
        <v>638</v>
      </c>
      <c r="H59" s="33" t="s">
        <v>484</v>
      </c>
      <c r="J59" s="33" t="s">
        <v>623</v>
      </c>
      <c r="K59" s="33" t="s">
        <v>623</v>
      </c>
      <c r="L59" s="33" t="s">
        <v>172</v>
      </c>
      <c r="M59" s="188" t="s">
        <v>484</v>
      </c>
      <c r="O59" s="33" t="s">
        <v>625</v>
      </c>
      <c r="P59" s="33" t="s">
        <v>623</v>
      </c>
      <c r="Q59" s="33" t="s">
        <v>484</v>
      </c>
      <c r="V59" s="33" t="s">
        <v>642</v>
      </c>
      <c r="W59" s="33" t="s">
        <v>641</v>
      </c>
    </row>
    <row r="60" spans="3:34" hidden="1" x14ac:dyDescent="0.25">
      <c r="D60" s="33">
        <v>1</v>
      </c>
      <c r="E60" s="33">
        <v>0.61</v>
      </c>
      <c r="F60" s="1061">
        <f t="shared" ref="F60:F84" si="28">SUM(J26,L26)</f>
        <v>0.5</v>
      </c>
      <c r="G60" s="33">
        <v>0.01</v>
      </c>
      <c r="H60" s="1131">
        <f>((E60-F60)*100)^2 *G60</f>
        <v>1.2099999999999995</v>
      </c>
      <c r="J60" s="33">
        <v>28</v>
      </c>
      <c r="K60" s="33">
        <f>(J60-2)/48</f>
        <v>0.54166666666666663</v>
      </c>
      <c r="L60" s="1061">
        <f t="shared" ref="L60:L84" si="29">N26</f>
        <v>0.5</v>
      </c>
      <c r="M60" s="1131">
        <f>((K60-L60)*100)^2</f>
        <v>17.361111111111075</v>
      </c>
      <c r="O60" s="1061">
        <f>R26-Q26</f>
        <v>0</v>
      </c>
      <c r="P60" s="33">
        <v>0.08</v>
      </c>
      <c r="Q60" s="1131">
        <f t="shared" ref="Q60:Q84" si="30">((O60-P60)*100)^2</f>
        <v>64</v>
      </c>
      <c r="V60" s="33">
        <f t="shared" ref="V60:V80" si="31">I26/M26</f>
        <v>0.5</v>
      </c>
      <c r="W60" s="33">
        <f t="shared" ref="W60:W80" si="32">K26/N26</f>
        <v>0.5</v>
      </c>
    </row>
    <row r="61" spans="3:34" hidden="1" x14ac:dyDescent="0.25">
      <c r="D61" s="33">
        <v>2</v>
      </c>
      <c r="E61" s="33">
        <v>0.56000000000000005</v>
      </c>
      <c r="F61" s="1061">
        <f t="shared" si="28"/>
        <v>0.5452943294413285</v>
      </c>
      <c r="G61" s="33">
        <v>0.01</v>
      </c>
      <c r="H61" s="1131">
        <f t="shared" ref="H61:H84" si="33">((E61-F61)*100)^2 *G61</f>
        <v>2.1625674658017943E-2</v>
      </c>
      <c r="J61" s="33">
        <v>26.400000000000002</v>
      </c>
      <c r="K61" s="33">
        <f>(J61-$E$7)/$E$9</f>
        <v>0.50833333333333341</v>
      </c>
      <c r="L61" s="1061">
        <f t="shared" si="29"/>
        <v>0.50842283907643282</v>
      </c>
      <c r="M61" s="1131">
        <f t="shared" ref="M61:M84" si="34">((K61-L61)*100)^2</f>
        <v>8.0112780477766977E-5</v>
      </c>
      <c r="O61" s="1061">
        <f>R27-Q27</f>
        <v>7.9960274194824432E-2</v>
      </c>
      <c r="P61" s="33">
        <v>0.08</v>
      </c>
      <c r="Q61" s="1131">
        <f t="shared" si="30"/>
        <v>1.5781395968473007E-5</v>
      </c>
      <c r="V61" s="33">
        <f t="shared" si="31"/>
        <v>0.49503712922451698</v>
      </c>
      <c r="W61" s="33">
        <f t="shared" si="32"/>
        <v>0.41571052238067635</v>
      </c>
    </row>
    <row r="62" spans="3:34" hidden="1" x14ac:dyDescent="0.25">
      <c r="D62" s="33">
        <v>3</v>
      </c>
      <c r="E62" s="33">
        <v>0.61</v>
      </c>
      <c r="F62" s="1061">
        <f t="shared" si="28"/>
        <v>0.61000387446776294</v>
      </c>
      <c r="G62" s="33">
        <v>0.1</v>
      </c>
      <c r="H62" s="1131">
        <f t="shared" si="33"/>
        <v>1.5011500446172125E-8</v>
      </c>
      <c r="J62" s="33">
        <v>24.288000000000004</v>
      </c>
      <c r="K62" s="33">
        <f t="shared" ref="K62:K84" si="35">(J62-$E$7)/$E$9</f>
        <v>0.46433333333333343</v>
      </c>
      <c r="L62" s="1061">
        <f t="shared" si="29"/>
        <v>0.46433316784928624</v>
      </c>
      <c r="M62" s="1131">
        <f t="shared" si="34"/>
        <v>2.7384969873599807E-10</v>
      </c>
      <c r="O62" s="1061">
        <f>R28-Q28</f>
        <v>8.0000113512594229E-2</v>
      </c>
      <c r="P62" s="33">
        <v>0.08</v>
      </c>
      <c r="Q62" s="1131">
        <f t="shared" si="30"/>
        <v>1.2885109048139748E-10</v>
      </c>
      <c r="V62" s="33">
        <f t="shared" si="31"/>
        <v>0.42552559584926636</v>
      </c>
      <c r="W62" s="33">
        <f t="shared" si="32"/>
        <v>0.34900840350309864</v>
      </c>
    </row>
    <row r="63" spans="3:34" hidden="1" x14ac:dyDescent="0.25">
      <c r="D63" s="33">
        <v>4</v>
      </c>
      <c r="E63" s="33">
        <v>0.72</v>
      </c>
      <c r="F63" s="1061">
        <f t="shared" si="28"/>
        <v>0.72051301121130806</v>
      </c>
      <c r="G63" s="33">
        <v>0.1</v>
      </c>
      <c r="H63" s="1131">
        <f t="shared" si="33"/>
        <v>2.6318050292779355E-4</v>
      </c>
      <c r="J63" s="33">
        <v>23.073600000000003</v>
      </c>
      <c r="K63" s="33">
        <f t="shared" si="35"/>
        <v>0.43903333333333339</v>
      </c>
      <c r="L63" s="1061">
        <f t="shared" si="29"/>
        <v>0.43897826465977535</v>
      </c>
      <c r="M63" s="1131">
        <f t="shared" si="34"/>
        <v>3.0325588074413275E-5</v>
      </c>
      <c r="O63" s="1061">
        <f>R29-Q29</f>
        <v>8.0082833779781759E-2</v>
      </c>
      <c r="P63" s="33">
        <v>0.08</v>
      </c>
      <c r="Q63" s="1131">
        <f t="shared" si="30"/>
        <v>6.8614350729326865E-5</v>
      </c>
      <c r="V63" s="33">
        <f t="shared" si="31"/>
        <v>0.30823204536247384</v>
      </c>
      <c r="W63" s="33">
        <f t="shared" si="32"/>
        <v>0.24275031451627702</v>
      </c>
    </row>
    <row r="64" spans="3:34" hidden="1" x14ac:dyDescent="0.25">
      <c r="D64" s="33">
        <v>5</v>
      </c>
      <c r="E64" s="33">
        <v>0.63</v>
      </c>
      <c r="F64" s="1061">
        <f t="shared" si="28"/>
        <v>0.62848766340822726</v>
      </c>
      <c r="G64" s="33">
        <v>0.01</v>
      </c>
      <c r="H64" s="1131">
        <f t="shared" si="33"/>
        <v>2.2871619668148022E-4</v>
      </c>
      <c r="J64" s="33">
        <v>19.843296000000002</v>
      </c>
      <c r="K64" s="33">
        <f t="shared" si="35"/>
        <v>0.37173533333333336</v>
      </c>
      <c r="L64" s="1061">
        <f t="shared" si="29"/>
        <v>0.37177173007484421</v>
      </c>
      <c r="M64" s="1131">
        <f t="shared" si="34"/>
        <v>1.3247227926074001E-5</v>
      </c>
      <c r="O64" s="1061">
        <f>R30-Q30</f>
        <v>7.9996375325177449E-2</v>
      </c>
      <c r="P64" s="33">
        <v>0.08</v>
      </c>
      <c r="Q64" s="1131">
        <f t="shared" si="30"/>
        <v>1.3138267569247354E-7</v>
      </c>
      <c r="V64" s="33">
        <f t="shared" si="31"/>
        <v>0.40124424805401315</v>
      </c>
      <c r="W64" s="33">
        <f t="shared" si="32"/>
        <v>0.32127068078935078</v>
      </c>
    </row>
    <row r="65" spans="4:34" hidden="1" x14ac:dyDescent="0.25">
      <c r="D65" s="33">
        <v>6</v>
      </c>
      <c r="E65" s="33">
        <v>0.72</v>
      </c>
      <c r="F65" s="1061">
        <f t="shared" si="28"/>
        <v>0.97575653780700877</v>
      </c>
      <c r="G65" s="33">
        <v>0.01</v>
      </c>
      <c r="H65" s="1131">
        <f t="shared" si="33"/>
        <v>6.5411406631027926</v>
      </c>
      <c r="J65" s="33">
        <v>17.660533440000002</v>
      </c>
      <c r="K65" s="33">
        <f t="shared" si="35"/>
        <v>0.32626111333333335</v>
      </c>
      <c r="L65" s="1061">
        <f t="shared" si="29"/>
        <v>0.32621786267639774</v>
      </c>
      <c r="M65" s="1131">
        <f t="shared" si="34"/>
        <v>1.8706193253619762E-5</v>
      </c>
      <c r="O65" s="1061">
        <f t="shared" ref="O65:O84" si="36">R31-Q31</f>
        <v>8.009080795123924E-2</v>
      </c>
      <c r="P65" s="33">
        <v>0.08</v>
      </c>
      <c r="Q65" s="1131">
        <f t="shared" si="30"/>
        <v>8.2460840082679101E-5</v>
      </c>
      <c r="V65" s="33">
        <f t="shared" si="31"/>
        <v>2.7055358443919823E-2</v>
      </c>
      <c r="W65" s="33">
        <f t="shared" si="32"/>
        <v>1.8435670276451911E-2</v>
      </c>
    </row>
    <row r="66" spans="4:34" hidden="1" x14ac:dyDescent="0.25">
      <c r="D66" s="33">
        <v>7</v>
      </c>
      <c r="E66" s="33">
        <v>0.74</v>
      </c>
      <c r="F66" s="1061">
        <f t="shared" si="28"/>
        <v>0.98688314022053092</v>
      </c>
      <c r="G66" s="33">
        <v>0.01</v>
      </c>
      <c r="H66" s="1131">
        <f t="shared" si="33"/>
        <v>6.0951284925150331</v>
      </c>
      <c r="J66" s="33">
        <v>15.894480096000002</v>
      </c>
      <c r="K66" s="33">
        <f t="shared" si="35"/>
        <v>0.28946833533333338</v>
      </c>
      <c r="L66" s="1061">
        <f t="shared" si="29"/>
        <v>0.28945293112172105</v>
      </c>
      <c r="M66" s="1131">
        <f t="shared" si="34"/>
        <v>2.3728973539760896E-6</v>
      </c>
      <c r="O66" s="1061">
        <f t="shared" si="36"/>
        <v>8.0049740687918897E-2</v>
      </c>
      <c r="P66" s="33">
        <v>0.08</v>
      </c>
      <c r="Q66" s="1131">
        <f t="shared" si="30"/>
        <v>2.4741360346449036E-5</v>
      </c>
      <c r="V66" s="33">
        <f t="shared" si="31"/>
        <v>1.4575212857751188E-2</v>
      </c>
      <c r="W66" s="33">
        <f t="shared" si="32"/>
        <v>9.5369046511955824E-3</v>
      </c>
      <c r="AH66" t="s">
        <v>639</v>
      </c>
    </row>
    <row r="67" spans="4:34" hidden="1" x14ac:dyDescent="0.25">
      <c r="D67" s="33">
        <v>8</v>
      </c>
      <c r="E67" s="33">
        <v>0.73</v>
      </c>
      <c r="F67" s="1061">
        <f t="shared" si="28"/>
        <v>0.98567823838701329</v>
      </c>
      <c r="G67" s="33">
        <v>0.01</v>
      </c>
      <c r="H67" s="1131">
        <f t="shared" si="33"/>
        <v>6.5371361584686394</v>
      </c>
      <c r="J67" s="33">
        <v>16.530259299840004</v>
      </c>
      <c r="K67" s="33">
        <f t="shared" si="35"/>
        <v>0.30271373541333341</v>
      </c>
      <c r="L67" s="1061">
        <f t="shared" si="29"/>
        <v>0.30269035904765901</v>
      </c>
      <c r="M67" s="1131">
        <f t="shared" si="34"/>
        <v>5.4645447214322196E-6</v>
      </c>
      <c r="O67" s="1061">
        <f t="shared" si="36"/>
        <v>8.0056421649680548E-2</v>
      </c>
      <c r="P67" s="33">
        <v>0.08</v>
      </c>
      <c r="Q67" s="1131">
        <f t="shared" si="30"/>
        <v>3.1834025526743033E-5</v>
      </c>
      <c r="V67" s="33">
        <f t="shared" si="31"/>
        <v>1.5942459677121185E-2</v>
      </c>
      <c r="W67" s="33">
        <f t="shared" si="32"/>
        <v>1.0588149519263138E-2</v>
      </c>
      <c r="AH67" t="s">
        <v>640</v>
      </c>
    </row>
    <row r="68" spans="4:34" hidden="1" x14ac:dyDescent="0.25">
      <c r="D68" s="33">
        <v>9</v>
      </c>
      <c r="E68" s="33">
        <v>0.72</v>
      </c>
      <c r="F68" s="1061">
        <f t="shared" si="28"/>
        <v>0.98379297768133611</v>
      </c>
      <c r="G68" s="33">
        <v>0.01</v>
      </c>
      <c r="H68" s="1131">
        <f t="shared" si="33"/>
        <v>6.9586735073985917</v>
      </c>
      <c r="J68" s="33">
        <v>16.695561892838406</v>
      </c>
      <c r="K68" s="33">
        <f t="shared" si="35"/>
        <v>0.30615753943413343</v>
      </c>
      <c r="L68" s="1061">
        <f t="shared" si="29"/>
        <v>0.30611980913967596</v>
      </c>
      <c r="M68" s="1131">
        <f t="shared" si="34"/>
        <v>1.4235751198475425E-5</v>
      </c>
      <c r="O68" s="1061">
        <f t="shared" si="36"/>
        <v>8.0075667642645648E-2</v>
      </c>
      <c r="P68" s="33">
        <v>0.08</v>
      </c>
      <c r="Q68" s="1131">
        <f t="shared" si="30"/>
        <v>5.7255921435492631E-5</v>
      </c>
      <c r="V68" s="33">
        <f t="shared" si="31"/>
        <v>1.8047044368943464E-2</v>
      </c>
      <c r="W68" s="33">
        <f t="shared" si="32"/>
        <v>1.2036253837449039E-2</v>
      </c>
    </row>
    <row r="69" spans="4:34" hidden="1" x14ac:dyDescent="0.25">
      <c r="D69" s="33">
        <v>10</v>
      </c>
      <c r="E69" s="33">
        <v>0.76</v>
      </c>
      <c r="F69" s="1061">
        <f t="shared" si="28"/>
        <v>0.76004252589121013</v>
      </c>
      <c r="G69" s="33">
        <v>0.1</v>
      </c>
      <c r="H69" s="1131">
        <f t="shared" si="33"/>
        <v>1.8084514232150621E-6</v>
      </c>
      <c r="J69" s="33">
        <v>17.5</v>
      </c>
      <c r="K69" s="33">
        <f t="shared" si="35"/>
        <v>0.32291666666666669</v>
      </c>
      <c r="L69" s="1061">
        <f t="shared" si="29"/>
        <v>0.32289523442641255</v>
      </c>
      <c r="M69" s="1131">
        <f t="shared" si="34"/>
        <v>4.5934092231108529E-6</v>
      </c>
      <c r="O69" s="1061">
        <f t="shared" si="36"/>
        <v>8.0008766023588695E-2</v>
      </c>
      <c r="P69" s="33">
        <v>0.08</v>
      </c>
      <c r="Q69" s="1131">
        <f t="shared" si="30"/>
        <v>7.684316955753661E-7</v>
      </c>
      <c r="V69" s="33">
        <f t="shared" si="31"/>
        <v>0.26150780169321935</v>
      </c>
      <c r="W69" s="33">
        <f t="shared" si="32"/>
        <v>0.19476687371789256</v>
      </c>
    </row>
    <row r="70" spans="4:34" hidden="1" x14ac:dyDescent="0.25">
      <c r="D70" s="33">
        <v>11</v>
      </c>
      <c r="E70" s="33">
        <v>0.28000000000000003</v>
      </c>
      <c r="F70" s="1061">
        <f t="shared" si="28"/>
        <v>0.28002934511583749</v>
      </c>
      <c r="G70" s="33">
        <v>1</v>
      </c>
      <c r="H70" s="1131">
        <f t="shared" si="33"/>
        <v>8.611358235142208E-6</v>
      </c>
      <c r="J70" s="33">
        <v>12</v>
      </c>
      <c r="K70" s="33">
        <f t="shared" si="35"/>
        <v>0.20833333333333334</v>
      </c>
      <c r="L70" s="1061">
        <f t="shared" si="29"/>
        <v>0.2083348034885367</v>
      </c>
      <c r="M70" s="1131">
        <f t="shared" si="34"/>
        <v>2.16135632194762E-8</v>
      </c>
      <c r="O70" s="1061">
        <f t="shared" si="36"/>
        <v>0.12004050991213033</v>
      </c>
      <c r="P70" s="33">
        <v>0.12</v>
      </c>
      <c r="Q70" s="1131">
        <f t="shared" si="30"/>
        <v>1.6410529808076744E-5</v>
      </c>
      <c r="V70" s="33">
        <f t="shared" si="31"/>
        <v>0.75054130109513062</v>
      </c>
      <c r="W70" s="33">
        <f t="shared" si="32"/>
        <v>0.60380323477559616</v>
      </c>
    </row>
    <row r="71" spans="4:34" hidden="1" x14ac:dyDescent="0.25">
      <c r="D71" s="33">
        <v>12</v>
      </c>
      <c r="E71" s="33">
        <v>0.28999999999999998</v>
      </c>
      <c r="F71" s="1061">
        <f t="shared" si="28"/>
        <v>0.29002649197108832</v>
      </c>
      <c r="G71" s="33">
        <v>1</v>
      </c>
      <c r="H71" s="1131">
        <f t="shared" si="33"/>
        <v>7.0182453214534857E-6</v>
      </c>
      <c r="J71" s="33">
        <v>11.5</v>
      </c>
      <c r="K71" s="33">
        <f t="shared" si="35"/>
        <v>0.19791666666666666</v>
      </c>
      <c r="L71" s="1061">
        <f t="shared" si="29"/>
        <v>0.19824545187202752</v>
      </c>
      <c r="M71" s="1131">
        <f t="shared" si="34"/>
        <v>1.0809971126418637E-3</v>
      </c>
      <c r="O71" s="1061">
        <f t="shared" si="36"/>
        <v>0.12017666888485223</v>
      </c>
      <c r="P71" s="33">
        <v>0.12</v>
      </c>
      <c r="Q71" s="1131">
        <f t="shared" si="30"/>
        <v>3.1211894874933317E-4</v>
      </c>
      <c r="V71" s="33">
        <f t="shared" si="31"/>
        <v>0.74083795807524944</v>
      </c>
      <c r="W71" s="33">
        <f t="shared" si="32"/>
        <v>0.58514989686181196</v>
      </c>
    </row>
    <row r="72" spans="4:34" hidden="1" x14ac:dyDescent="0.25">
      <c r="D72" s="33">
        <v>13</v>
      </c>
      <c r="E72" s="33">
        <v>0.31</v>
      </c>
      <c r="F72" s="1061">
        <f t="shared" si="28"/>
        <v>0.31046975843404467</v>
      </c>
      <c r="G72" s="33">
        <v>1</v>
      </c>
      <c r="H72" s="1131">
        <f t="shared" si="33"/>
        <v>2.2067298635610609E-3</v>
      </c>
      <c r="J72" s="33">
        <v>12.3</v>
      </c>
      <c r="K72" s="33">
        <f t="shared" si="35"/>
        <v>0.21458333333333335</v>
      </c>
      <c r="L72" s="1061">
        <f t="shared" si="29"/>
        <v>0.21496214973773364</v>
      </c>
      <c r="M72" s="1131">
        <f t="shared" si="34"/>
        <v>1.435018682427679E-3</v>
      </c>
      <c r="O72" s="1061">
        <f t="shared" si="36"/>
        <v>0.12043336885312703</v>
      </c>
      <c r="P72" s="33">
        <v>0.12</v>
      </c>
      <c r="Q72" s="1131">
        <f t="shared" si="30"/>
        <v>1.8780856286063797E-3</v>
      </c>
      <c r="V72" s="33">
        <f t="shared" si="31"/>
        <v>0.72237218588388574</v>
      </c>
      <c r="W72" s="33">
        <f t="shared" si="32"/>
        <v>0.56959205990356987</v>
      </c>
    </row>
    <row r="73" spans="4:34" hidden="1" x14ac:dyDescent="0.25">
      <c r="D73" s="33">
        <v>14</v>
      </c>
      <c r="E73" s="33">
        <v>0.27</v>
      </c>
      <c r="F73" s="1061">
        <f t="shared" si="28"/>
        <v>0.27043723914940859</v>
      </c>
      <c r="G73" s="33">
        <v>1</v>
      </c>
      <c r="H73" s="1131">
        <f t="shared" si="33"/>
        <v>1.9117807377553398E-3</v>
      </c>
      <c r="J73" s="33">
        <v>14.8</v>
      </c>
      <c r="K73" s="33">
        <f t="shared" si="35"/>
        <v>0.26666666666666666</v>
      </c>
      <c r="L73" s="1061">
        <f t="shared" si="29"/>
        <v>0.26669856120401703</v>
      </c>
      <c r="M73" s="1131">
        <f t="shared" si="34"/>
        <v>1.0172615127937121E-5</v>
      </c>
      <c r="O73" s="1061">
        <f t="shared" si="36"/>
        <v>0.12018273351675879</v>
      </c>
      <c r="P73" s="33">
        <v>0.12</v>
      </c>
      <c r="Q73" s="1131">
        <f t="shared" si="30"/>
        <v>3.3391538147036046E-4</v>
      </c>
      <c r="V73" s="33">
        <f t="shared" si="31"/>
        <v>0.76189893926178365</v>
      </c>
      <c r="W73" s="33">
        <f t="shared" si="32"/>
        <v>0.64065277180887448</v>
      </c>
    </row>
    <row r="74" spans="4:34" hidden="1" x14ac:dyDescent="0.25">
      <c r="D74" s="33">
        <v>15</v>
      </c>
      <c r="E74" s="33">
        <v>0.23</v>
      </c>
      <c r="F74" s="1061">
        <f t="shared" si="28"/>
        <v>0.23013118554093551</v>
      </c>
      <c r="G74" s="33">
        <v>1</v>
      </c>
      <c r="H74" s="1131">
        <f t="shared" si="33"/>
        <v>1.7209646150538886E-4</v>
      </c>
      <c r="J74" s="33">
        <v>17.3</v>
      </c>
      <c r="K74" s="33">
        <f t="shared" si="35"/>
        <v>0.31875000000000003</v>
      </c>
      <c r="L74" s="1061">
        <f t="shared" si="29"/>
        <v>0.31846043461013629</v>
      </c>
      <c r="M74" s="1131">
        <f t="shared" si="34"/>
        <v>8.3848115006942073E-4</v>
      </c>
      <c r="O74" s="1061">
        <f t="shared" si="36"/>
        <v>0.11991095906770965</v>
      </c>
      <c r="P74" s="33">
        <v>0.12</v>
      </c>
      <c r="Q74" s="1131">
        <f t="shared" si="30"/>
        <v>7.928287623133039E-5</v>
      </c>
      <c r="V74" s="33">
        <f t="shared" si="31"/>
        <v>0.80104047987879601</v>
      </c>
      <c r="W74" s="33">
        <f t="shared" si="32"/>
        <v>0.70315809942581353</v>
      </c>
    </row>
    <row r="75" spans="4:34" hidden="1" x14ac:dyDescent="0.25">
      <c r="D75" s="33">
        <v>16</v>
      </c>
      <c r="E75" s="33">
        <v>0.25</v>
      </c>
      <c r="F75" s="1061">
        <f t="shared" si="28"/>
        <v>0.24989924468379876</v>
      </c>
      <c r="G75" s="33">
        <v>1</v>
      </c>
      <c r="H75" s="1131">
        <f t="shared" si="33"/>
        <v>1.0151633742811813E-4</v>
      </c>
      <c r="J75" s="33">
        <v>16.399999999999999</v>
      </c>
      <c r="K75" s="33">
        <f t="shared" si="35"/>
        <v>0.3</v>
      </c>
      <c r="L75" s="1061">
        <f t="shared" si="29"/>
        <v>0.3000040365167832</v>
      </c>
      <c r="M75" s="1131">
        <f t="shared" si="34"/>
        <v>1.629346774115517E-7</v>
      </c>
      <c r="O75" s="1061">
        <f t="shared" si="36"/>
        <v>0.11998644867961361</v>
      </c>
      <c r="P75" s="33">
        <v>0.12</v>
      </c>
      <c r="Q75" s="1131">
        <f t="shared" si="30"/>
        <v>1.8363828421444353E-6</v>
      </c>
      <c r="V75" s="33">
        <f t="shared" si="31"/>
        <v>0.78223153098690978</v>
      </c>
      <c r="W75" s="33">
        <f t="shared" si="32"/>
        <v>0.6751303864697723</v>
      </c>
    </row>
    <row r="76" spans="4:34" hidden="1" x14ac:dyDescent="0.25">
      <c r="D76" s="33">
        <v>17</v>
      </c>
      <c r="E76" s="33">
        <v>0.52</v>
      </c>
      <c r="F76" s="1061">
        <f t="shared" si="28"/>
        <v>0.51979191576797812</v>
      </c>
      <c r="G76" s="33">
        <v>1</v>
      </c>
      <c r="H76" s="1131">
        <f t="shared" si="33"/>
        <v>4.3299047616143484E-4</v>
      </c>
      <c r="J76" s="33">
        <v>12.4</v>
      </c>
      <c r="K76" s="33">
        <f t="shared" si="35"/>
        <v>0.21666666666666667</v>
      </c>
      <c r="L76" s="1061">
        <f t="shared" si="29"/>
        <v>0.21734928261777114</v>
      </c>
      <c r="M76" s="1131">
        <f t="shared" si="34"/>
        <v>4.6596453670226081E-3</v>
      </c>
      <c r="O76" s="1061">
        <f t="shared" si="36"/>
        <v>0.19991713719849274</v>
      </c>
      <c r="P76" s="33">
        <v>0.2</v>
      </c>
      <c r="Q76" s="1131">
        <f t="shared" si="30"/>
        <v>6.8662438736326187E-5</v>
      </c>
      <c r="V76" s="33">
        <f t="shared" si="31"/>
        <v>0.54396701483082965</v>
      </c>
      <c r="W76" s="33">
        <f t="shared" si="32"/>
        <v>0.25061922996174524</v>
      </c>
    </row>
    <row r="77" spans="4:34" hidden="1" x14ac:dyDescent="0.25">
      <c r="D77" s="33">
        <v>18</v>
      </c>
      <c r="E77" s="33">
        <v>0.78</v>
      </c>
      <c r="F77" s="1061">
        <f t="shared" si="28"/>
        <v>0.77780427124322427</v>
      </c>
      <c r="G77" s="33">
        <v>1</v>
      </c>
      <c r="H77" s="1131">
        <f t="shared" si="33"/>
        <v>4.8212247733320293E-2</v>
      </c>
      <c r="J77" s="33">
        <v>10.199999999999999</v>
      </c>
      <c r="K77" s="33">
        <f t="shared" si="35"/>
        <v>0.17083333333333331</v>
      </c>
      <c r="L77" s="1061">
        <f t="shared" si="29"/>
        <v>0.17904537347501603</v>
      </c>
      <c r="M77" s="1131">
        <f t="shared" si="34"/>
        <v>0.67437603288608428</v>
      </c>
      <c r="O77" s="1061">
        <f t="shared" si="36"/>
        <v>0.19365956505082157</v>
      </c>
      <c r="P77" s="33">
        <v>0.2</v>
      </c>
      <c r="Q77" s="1131">
        <f t="shared" si="30"/>
        <v>0.40201115344763361</v>
      </c>
      <c r="V77" s="33">
        <f t="shared" si="31"/>
        <v>0.26296433152190501</v>
      </c>
      <c r="W77" s="33">
        <f t="shared" si="32"/>
        <v>3.5264492236093223E-2</v>
      </c>
    </row>
    <row r="78" spans="4:34" hidden="1" x14ac:dyDescent="0.25">
      <c r="D78" s="33">
        <v>19</v>
      </c>
      <c r="E78" s="33">
        <v>0.82</v>
      </c>
      <c r="F78" s="1061">
        <f t="shared" si="28"/>
        <v>0.81506887296901165</v>
      </c>
      <c r="G78" s="33">
        <v>1</v>
      </c>
      <c r="H78" s="1131">
        <f t="shared" si="33"/>
        <v>0.24316013795743513</v>
      </c>
      <c r="J78" s="33">
        <v>9.1999999999999993</v>
      </c>
      <c r="K78" s="33">
        <f t="shared" si="35"/>
        <v>0.15</v>
      </c>
      <c r="L78" s="1061">
        <f t="shared" si="29"/>
        <v>0.16882932226545422</v>
      </c>
      <c r="M78" s="1131">
        <f t="shared" si="34"/>
        <v>3.5454337697633012</v>
      </c>
      <c r="O78" s="1061">
        <f t="shared" si="36"/>
        <v>0.18429755018799088</v>
      </c>
      <c r="P78" s="33">
        <v>0.2</v>
      </c>
      <c r="Q78" s="1131">
        <f t="shared" si="30"/>
        <v>2.4656693009866566</v>
      </c>
      <c r="V78" s="33">
        <f t="shared" si="31"/>
        <v>0.21835322231692411</v>
      </c>
      <c r="W78" s="33">
        <f t="shared" si="32"/>
        <v>2.0389415808328173E-2</v>
      </c>
    </row>
    <row r="79" spans="4:34" hidden="1" x14ac:dyDescent="0.25">
      <c r="D79" s="33">
        <v>20</v>
      </c>
      <c r="E79" s="33">
        <v>0.91</v>
      </c>
      <c r="F79" s="1061">
        <f t="shared" si="28"/>
        <v>0.89916917713836153</v>
      </c>
      <c r="G79" s="33">
        <v>1</v>
      </c>
      <c r="H79" s="1131">
        <f t="shared" si="33"/>
        <v>1.1730672386019119</v>
      </c>
      <c r="J79" s="33">
        <v>7.4</v>
      </c>
      <c r="K79" s="33">
        <f t="shared" si="35"/>
        <v>0.1125</v>
      </c>
      <c r="L79" s="1061">
        <f t="shared" si="29"/>
        <v>0.15615505962746581</v>
      </c>
      <c r="M79" s="1131">
        <f t="shared" si="34"/>
        <v>19.05764231077595</v>
      </c>
      <c r="O79" s="1061">
        <f t="shared" si="36"/>
        <v>0.16000080580689063</v>
      </c>
      <c r="P79" s="33">
        <v>0.2</v>
      </c>
      <c r="Q79" s="1131">
        <f t="shared" si="30"/>
        <v>15.999355360980749</v>
      </c>
      <c r="V79" s="33">
        <f t="shared" si="31"/>
        <v>0.11802154979172511</v>
      </c>
      <c r="W79" s="33">
        <f t="shared" si="32"/>
        <v>7.9340062238251186E-3</v>
      </c>
    </row>
    <row r="80" spans="4:34" hidden="1" x14ac:dyDescent="0.25">
      <c r="D80" s="33">
        <v>21</v>
      </c>
      <c r="E80" s="33">
        <v>0.98</v>
      </c>
      <c r="F80" s="1061">
        <f t="shared" si="28"/>
        <v>0.93341441517669665</v>
      </c>
      <c r="G80" s="33">
        <v>1</v>
      </c>
      <c r="H80" s="1131">
        <f t="shared" si="33"/>
        <v>21.702167133291898</v>
      </c>
      <c r="J80" s="33">
        <v>6.2</v>
      </c>
      <c r="K80" s="33">
        <f t="shared" si="35"/>
        <v>8.7500000000000008E-2</v>
      </c>
      <c r="L80" s="1061">
        <f t="shared" si="29"/>
        <v>0.24231367497203854</v>
      </c>
      <c r="M80" s="1131">
        <f t="shared" si="34"/>
        <v>239.67273958347985</v>
      </c>
      <c r="O80" s="1061">
        <f t="shared" si="36"/>
        <v>0.25492749880491533</v>
      </c>
      <c r="P80" s="33">
        <v>0.4</v>
      </c>
      <c r="Q80" s="1131">
        <f t="shared" si="30"/>
        <v>210.46030602997851</v>
      </c>
      <c r="V80" s="33">
        <f t="shared" si="31"/>
        <v>8.749692938530565E-2</v>
      </c>
      <c r="W80" s="33">
        <f t="shared" si="32"/>
        <v>1.1982730489876058E-3</v>
      </c>
    </row>
    <row r="81" spans="4:23" hidden="1" x14ac:dyDescent="0.25">
      <c r="D81" s="33">
        <v>22</v>
      </c>
      <c r="E81" s="33">
        <v>0.97</v>
      </c>
      <c r="F81" s="1061">
        <f t="shared" si="28"/>
        <v>0.88283817296684231</v>
      </c>
      <c r="G81" s="33">
        <v>0.5</v>
      </c>
      <c r="H81" s="1131">
        <f t="shared" si="33"/>
        <v>37.985920458790474</v>
      </c>
      <c r="J81" s="33">
        <v>7</v>
      </c>
      <c r="K81" s="33">
        <f t="shared" si="35"/>
        <v>0.10416666666666667</v>
      </c>
      <c r="L81" s="1061">
        <f t="shared" si="29"/>
        <v>0.24650141676102971</v>
      </c>
      <c r="M81" s="1131">
        <f t="shared" si="34"/>
        <v>202.59181084424776</v>
      </c>
      <c r="O81" s="1061">
        <f t="shared" si="36"/>
        <v>0.27377263064130963</v>
      </c>
      <c r="P81" s="33">
        <v>0.4</v>
      </c>
      <c r="Q81" s="1131">
        <f t="shared" si="30"/>
        <v>159.33348775215248</v>
      </c>
      <c r="V81" s="33">
        <f>I47/M47</f>
        <v>0.15474338912891875</v>
      </c>
      <c r="W81" s="33">
        <f>K47/N47</f>
        <v>2.2835672359093531E-3</v>
      </c>
    </row>
    <row r="82" spans="4:23" hidden="1" x14ac:dyDescent="0.25">
      <c r="D82" s="33">
        <v>23</v>
      </c>
      <c r="E82" s="33">
        <v>0.99</v>
      </c>
      <c r="F82" s="1061">
        <f t="shared" si="28"/>
        <v>0.89977350186783744</v>
      </c>
      <c r="G82" s="33">
        <v>0.5</v>
      </c>
      <c r="H82" s="1131">
        <f t="shared" si="33"/>
        <v>40.704104825965658</v>
      </c>
      <c r="J82" s="33">
        <v>6.2</v>
      </c>
      <c r="K82" s="33">
        <f t="shared" si="35"/>
        <v>8.7500000000000008E-2</v>
      </c>
      <c r="L82" s="1061">
        <f t="shared" si="29"/>
        <v>0.24008690547069561</v>
      </c>
      <c r="M82" s="1131">
        <f t="shared" si="34"/>
        <v>232.82763721122993</v>
      </c>
      <c r="O82" s="1061">
        <f t="shared" si="36"/>
        <v>0.26215140939448772</v>
      </c>
      <c r="P82" s="33">
        <v>0.4</v>
      </c>
      <c r="Q82" s="1131">
        <f t="shared" si="30"/>
        <v>190.02233931926136</v>
      </c>
      <c r="V82" s="33">
        <f>I48/M48</f>
        <v>0.13133678562506232</v>
      </c>
      <c r="W82" s="33">
        <f>K48/N48</f>
        <v>1.7575091880260433E-3</v>
      </c>
    </row>
    <row r="83" spans="4:23" hidden="1" x14ac:dyDescent="0.25">
      <c r="D83" s="33">
        <v>24</v>
      </c>
      <c r="E83" s="33">
        <v>0.98</v>
      </c>
      <c r="F83" s="1061">
        <f t="shared" si="28"/>
        <v>0.88830657572364879</v>
      </c>
      <c r="G83" s="33">
        <v>0.5</v>
      </c>
      <c r="H83" s="1131">
        <f t="shared" si="33"/>
        <v>42.038420277614748</v>
      </c>
      <c r="J83" s="33">
        <v>5.2</v>
      </c>
      <c r="K83" s="33">
        <f t="shared" si="35"/>
        <v>6.6666666666666666E-2</v>
      </c>
      <c r="L83" s="1061">
        <f t="shared" si="29"/>
        <v>0.22969307928342045</v>
      </c>
      <c r="M83" s="1131">
        <f t="shared" si="34"/>
        <v>265.77611210688048</v>
      </c>
      <c r="O83" s="1061">
        <f t="shared" si="36"/>
        <v>0.2542956934682169</v>
      </c>
      <c r="P83" s="33">
        <v>0.4</v>
      </c>
      <c r="Q83" s="1131">
        <f t="shared" si="30"/>
        <v>212.29744941907822</v>
      </c>
      <c r="R83" s="1132">
        <f>SUM(H60:H84)</f>
        <v>219.69116718359228</v>
      </c>
      <c r="S83" s="1132">
        <f>SUM(M60:M84)</f>
        <v>1274.7535526288495</v>
      </c>
      <c r="T83" s="1132">
        <f>SUM(Q60:Q84)</f>
        <v>1090.7809668865007</v>
      </c>
      <c r="V83" s="33">
        <f>I49/M49</f>
        <v>0.14444752561229937</v>
      </c>
      <c r="W83" s="33">
        <f>K49/N49</f>
        <v>1.8480992903044256E-3</v>
      </c>
    </row>
    <row r="84" spans="4:23" hidden="1" x14ac:dyDescent="0.25">
      <c r="D84" s="33">
        <v>25</v>
      </c>
      <c r="E84" s="33">
        <v>0.99</v>
      </c>
      <c r="F84" s="1061">
        <f t="shared" si="28"/>
        <v>0.89158549303700063</v>
      </c>
      <c r="G84" s="33">
        <v>0.5</v>
      </c>
      <c r="H84" s="1131">
        <f t="shared" si="33"/>
        <v>48.427075903851254</v>
      </c>
      <c r="J84" s="33">
        <v>4.5</v>
      </c>
      <c r="K84" s="33">
        <f t="shared" si="35"/>
        <v>5.2083333333333336E-2</v>
      </c>
      <c r="L84" s="1061">
        <f t="shared" si="29"/>
        <v>0.22332541230352501</v>
      </c>
      <c r="M84" s="1131">
        <f t="shared" si="34"/>
        <v>293.23849610033363</v>
      </c>
      <c r="O84" s="1061">
        <f t="shared" si="36"/>
        <v>0.24644304748706714</v>
      </c>
      <c r="P84" s="33">
        <v>0.4</v>
      </c>
      <c r="Q84" s="1131">
        <f t="shared" si="30"/>
        <v>235.79737665059127</v>
      </c>
      <c r="R84" s="33" t="s">
        <v>624</v>
      </c>
      <c r="S84" s="1132">
        <f>10000* ( R83+(S83)+(T83))</f>
        <v>25852256.866989426</v>
      </c>
      <c r="V84" s="33">
        <f>I50/M50</f>
        <v>0.13908550213497708</v>
      </c>
      <c r="W84" s="33">
        <f>K50/N50</f>
        <v>1.747816935533032E-3</v>
      </c>
    </row>
    <row r="85" spans="4:23" hidden="1" x14ac:dyDescent="0.25"/>
    <row r="86" spans="4:23" hidden="1" x14ac:dyDescent="0.25"/>
    <row r="87" spans="4:23" hidden="1" x14ac:dyDescent="0.25"/>
    <row r="88" spans="4:23" hidden="1" x14ac:dyDescent="0.25"/>
    <row r="89" spans="4:23" hidden="1" x14ac:dyDescent="0.25"/>
    <row r="90" spans="4:23" hidden="1" x14ac:dyDescent="0.25"/>
  </sheetData>
  <mergeCells count="6">
    <mergeCell ref="AE24:AF24"/>
    <mergeCell ref="AG24:AH24"/>
    <mergeCell ref="X24:Y24"/>
    <mergeCell ref="C6:C12"/>
    <mergeCell ref="C18:C21"/>
    <mergeCell ref="C14:C1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H379"/>
  <sheetViews>
    <sheetView zoomScale="85" zoomScaleNormal="85" workbookViewId="0">
      <selection activeCell="D14" sqref="D14"/>
    </sheetView>
  </sheetViews>
  <sheetFormatPr defaultRowHeight="15" x14ac:dyDescent="0.25"/>
  <cols>
    <col min="6" max="6" width="12" bestFit="1" customWidth="1"/>
    <col min="7" max="7" width="9.85546875" customWidth="1"/>
    <col min="8" max="8" width="9.42578125" customWidth="1"/>
    <col min="9" max="12" width="11.42578125" style="33" customWidth="1"/>
    <col min="13" max="13" width="11.7109375" style="33" customWidth="1"/>
    <col min="14" max="14" width="12" style="33" customWidth="1"/>
    <col min="16" max="16" width="10.28515625" customWidth="1"/>
    <col min="17" max="20" width="12.140625" customWidth="1"/>
    <col min="21" max="21" width="10.42578125" customWidth="1"/>
    <col min="22" max="22" width="12.7109375" customWidth="1"/>
    <col min="23" max="23" width="10.28515625" customWidth="1"/>
    <col min="24" max="24" width="10.42578125" customWidth="1"/>
    <col min="25" max="25" width="9.28515625" customWidth="1"/>
  </cols>
  <sheetData>
    <row r="1" spans="2:25" ht="21" x14ac:dyDescent="0.35">
      <c r="H1" s="139"/>
    </row>
    <row r="2" spans="2:25" ht="31.5" x14ac:dyDescent="0.5">
      <c r="B2" s="186" t="s">
        <v>311</v>
      </c>
    </row>
    <row r="4" spans="2:25" ht="21" x14ac:dyDescent="0.35">
      <c r="B4" s="564" t="s">
        <v>795</v>
      </c>
    </row>
    <row r="5" spans="2:25" ht="21" x14ac:dyDescent="0.35">
      <c r="B5" s="564" t="s">
        <v>859</v>
      </c>
    </row>
    <row r="6" spans="2:25" ht="21" x14ac:dyDescent="0.35">
      <c r="B6" s="564"/>
    </row>
    <row r="7" spans="2:25" ht="21" x14ac:dyDescent="0.35">
      <c r="B7" s="564" t="s">
        <v>742</v>
      </c>
    </row>
    <row r="8" spans="2:25" ht="21" x14ac:dyDescent="0.35">
      <c r="B8" s="564" t="s">
        <v>796</v>
      </c>
    </row>
    <row r="9" spans="2:25" ht="21" x14ac:dyDescent="0.35">
      <c r="B9" s="564"/>
    </row>
    <row r="10" spans="2:25" x14ac:dyDescent="0.25">
      <c r="G10" s="1564" t="s">
        <v>159</v>
      </c>
      <c r="H10" s="150" t="s">
        <v>4</v>
      </c>
      <c r="I10" s="264" t="s">
        <v>129</v>
      </c>
      <c r="J10" s="264"/>
      <c r="K10" s="264"/>
      <c r="L10" s="264"/>
      <c r="M10" s="259"/>
    </row>
    <row r="11" spans="2:25" ht="23.25" x14ac:dyDescent="0.35">
      <c r="B11" s="751" t="s">
        <v>321</v>
      </c>
      <c r="G11" s="1565"/>
      <c r="H11" s="17" t="s">
        <v>130</v>
      </c>
      <c r="I11" s="17" t="s">
        <v>3</v>
      </c>
      <c r="J11" s="17"/>
      <c r="K11" s="17"/>
      <c r="L11" s="17"/>
      <c r="M11" s="239"/>
      <c r="V11" s="7"/>
      <c r="W11" s="7"/>
      <c r="X11" s="7"/>
      <c r="Y11" s="7"/>
    </row>
    <row r="12" spans="2:25" ht="18.75" x14ac:dyDescent="0.3">
      <c r="B12" s="184" t="s">
        <v>860</v>
      </c>
      <c r="G12" s="1566"/>
      <c r="H12" s="257" t="s">
        <v>131</v>
      </c>
      <c r="I12" s="257" t="s">
        <v>2</v>
      </c>
      <c r="J12" s="257"/>
      <c r="K12" s="257"/>
      <c r="L12" s="257"/>
      <c r="M12" s="260"/>
      <c r="V12" s="18"/>
      <c r="W12" s="7"/>
      <c r="X12" s="7"/>
      <c r="Y12" s="7"/>
    </row>
    <row r="13" spans="2:25" x14ac:dyDescent="0.25">
      <c r="G13" s="256"/>
      <c r="H13" s="33"/>
      <c r="V13" s="7"/>
      <c r="W13" s="7"/>
      <c r="X13" s="7"/>
      <c r="Y13" s="7"/>
    </row>
    <row r="14" spans="2:25" x14ac:dyDescent="0.25">
      <c r="G14" s="1564" t="s">
        <v>163</v>
      </c>
      <c r="H14" s="150" t="s">
        <v>4</v>
      </c>
      <c r="I14" s="264" t="s">
        <v>790</v>
      </c>
      <c r="J14" s="264"/>
      <c r="K14" s="264"/>
      <c r="L14" s="264"/>
      <c r="M14" s="259"/>
      <c r="V14" s="18"/>
    </row>
    <row r="15" spans="2:25" x14ac:dyDescent="0.25">
      <c r="G15" s="1565"/>
      <c r="H15" s="17" t="s">
        <v>130</v>
      </c>
      <c r="I15" s="17" t="s">
        <v>3</v>
      </c>
      <c r="J15" s="17"/>
      <c r="K15" s="17"/>
      <c r="L15" s="17"/>
      <c r="M15" s="239"/>
      <c r="V15" s="18"/>
    </row>
    <row r="16" spans="2:25" x14ac:dyDescent="0.25">
      <c r="G16" s="1566"/>
      <c r="H16" s="257" t="s">
        <v>131</v>
      </c>
      <c r="I16" s="257" t="s">
        <v>2</v>
      </c>
      <c r="J16" s="257"/>
      <c r="K16" s="257"/>
      <c r="L16" s="257"/>
      <c r="M16" s="260"/>
      <c r="V16" s="18"/>
    </row>
    <row r="17" spans="1:34" ht="15.75" thickBot="1" x14ac:dyDescent="0.3">
      <c r="G17" s="255"/>
      <c r="H17" s="7"/>
      <c r="I17" s="253"/>
      <c r="J17" s="7"/>
      <c r="K17" s="17"/>
      <c r="L17" s="17"/>
      <c r="M17" s="17"/>
      <c r="V17" s="18"/>
    </row>
    <row r="18" spans="1:34" x14ac:dyDescent="0.25">
      <c r="G18" s="1567" t="s">
        <v>148</v>
      </c>
      <c r="H18" s="10" t="s">
        <v>160</v>
      </c>
      <c r="I18" s="274" t="s">
        <v>164</v>
      </c>
      <c r="J18" s="251" t="s">
        <v>162</v>
      </c>
      <c r="K18" s="251"/>
      <c r="L18" s="251"/>
      <c r="M18" s="249"/>
      <c r="V18" s="18"/>
    </row>
    <row r="19" spans="1:34" x14ac:dyDescent="0.25">
      <c r="G19" s="1568"/>
      <c r="H19" s="17" t="s">
        <v>135</v>
      </c>
      <c r="I19" s="254">
        <f>COUNTA(I28:L28)</f>
        <v>4</v>
      </c>
      <c r="J19" s="17" t="s">
        <v>136</v>
      </c>
      <c r="K19" s="17"/>
      <c r="L19" s="17"/>
      <c r="M19" s="195"/>
      <c r="V19" s="18"/>
      <c r="Z19" s="7"/>
      <c r="AA19" s="7"/>
      <c r="AB19" s="7"/>
      <c r="AC19" s="7"/>
      <c r="AD19" s="7"/>
      <c r="AE19" s="7"/>
      <c r="AF19" s="7"/>
      <c r="AG19" s="7"/>
      <c r="AH19" s="7"/>
    </row>
    <row r="20" spans="1:34" x14ac:dyDescent="0.25">
      <c r="G20" s="1568"/>
      <c r="H20" s="17" t="s">
        <v>5</v>
      </c>
      <c r="I20" s="253">
        <v>8</v>
      </c>
      <c r="J20" s="17" t="s">
        <v>139</v>
      </c>
      <c r="K20" s="17"/>
      <c r="L20" s="17"/>
      <c r="M20" s="195"/>
      <c r="V20" s="18"/>
      <c r="Z20" s="7"/>
      <c r="AA20" s="7"/>
      <c r="AB20" s="7"/>
      <c r="AC20" s="7"/>
      <c r="AD20" s="7"/>
      <c r="AE20" s="7"/>
      <c r="AF20" s="7"/>
      <c r="AG20" s="7"/>
      <c r="AH20" s="7"/>
    </row>
    <row r="21" spans="1:34" ht="15.75" thickBot="1" x14ac:dyDescent="0.3">
      <c r="G21" s="1569"/>
      <c r="H21" s="166" t="s">
        <v>137</v>
      </c>
      <c r="I21" s="275">
        <f>U29</f>
        <v>11.090364888959126</v>
      </c>
      <c r="J21" s="166" t="s">
        <v>138</v>
      </c>
      <c r="K21" s="252"/>
      <c r="L21" s="252"/>
      <c r="M21" s="250"/>
      <c r="V21" s="18"/>
      <c r="Z21" s="7"/>
      <c r="AA21" s="7"/>
      <c r="AB21" s="7"/>
      <c r="AC21" s="7"/>
      <c r="AD21" s="7"/>
      <c r="AE21" s="7"/>
      <c r="AF21" s="7"/>
      <c r="AG21" s="7"/>
      <c r="AH21" s="7"/>
    </row>
    <row r="22" spans="1:34" x14ac:dyDescent="0.25">
      <c r="G22" s="256"/>
      <c r="H22" s="7"/>
      <c r="I22" s="253"/>
      <c r="J22" s="7"/>
      <c r="K22" s="17"/>
      <c r="L22" s="17"/>
      <c r="M22" s="17"/>
      <c r="V22" s="18"/>
      <c r="Z22" s="7"/>
      <c r="AA22" s="7"/>
      <c r="AB22" s="7"/>
      <c r="AC22" s="7"/>
      <c r="AD22" s="7"/>
      <c r="AE22" s="7"/>
      <c r="AF22" s="7"/>
      <c r="AG22" s="7"/>
      <c r="AH22" s="7"/>
    </row>
    <row r="23" spans="1:34" x14ac:dyDescent="0.25">
      <c r="G23" s="256"/>
      <c r="H23" s="7"/>
      <c r="I23" s="253"/>
      <c r="J23" s="26"/>
      <c r="L23" s="26"/>
      <c r="V23" s="18"/>
    </row>
    <row r="24" spans="1:34" x14ac:dyDescent="0.25">
      <c r="G24" s="256"/>
      <c r="H24" s="7"/>
      <c r="I24" s="253"/>
      <c r="J24" s="7"/>
      <c r="K24" s="17"/>
      <c r="N24" s="26"/>
      <c r="P24" s="1511"/>
      <c r="Q24" s="26"/>
      <c r="R24" s="26" t="s">
        <v>822</v>
      </c>
      <c r="S24" s="26"/>
      <c r="T24" s="26"/>
      <c r="U24" s="84"/>
      <c r="V24" s="18"/>
    </row>
    <row r="25" spans="1:34" x14ac:dyDescent="0.25">
      <c r="L25" s="26"/>
      <c r="O25" s="26"/>
      <c r="P25" s="1511"/>
      <c r="Q25" s="26" t="s">
        <v>821</v>
      </c>
      <c r="R25" s="26"/>
      <c r="S25" s="26"/>
      <c r="T25" s="26" t="s">
        <v>823</v>
      </c>
      <c r="U25" s="84"/>
      <c r="V25" s="26"/>
      <c r="W25" s="26"/>
    </row>
    <row r="26" spans="1:34" ht="15.75" thickBot="1" x14ac:dyDescent="0.3">
      <c r="M26" s="1506" t="s">
        <v>1173</v>
      </c>
      <c r="N26" s="84" t="s">
        <v>1176</v>
      </c>
      <c r="O26" s="84" t="s">
        <v>1175</v>
      </c>
      <c r="P26" s="1505" t="s">
        <v>1174</v>
      </c>
      <c r="Q26" s="26"/>
      <c r="R26" s="26"/>
      <c r="S26" s="26" t="s">
        <v>824</v>
      </c>
      <c r="T26" s="26"/>
      <c r="U26" s="84"/>
    </row>
    <row r="27" spans="1:34" ht="27.75" customHeight="1" x14ac:dyDescent="0.25">
      <c r="G27" s="7"/>
      <c r="I27" s="565" t="s">
        <v>12</v>
      </c>
      <c r="J27" s="566"/>
      <c r="K27" s="566"/>
      <c r="L27" s="567"/>
      <c r="M27" s="568" t="s">
        <v>13</v>
      </c>
      <c r="N27" s="569"/>
      <c r="O27" s="569"/>
      <c r="P27" s="570"/>
      <c r="Q27" s="569" t="s">
        <v>219</v>
      </c>
      <c r="R27" s="569"/>
      <c r="S27" s="569"/>
      <c r="T27" s="571"/>
      <c r="U27" s="15" t="s">
        <v>36</v>
      </c>
      <c r="V27" s="16" t="s">
        <v>35</v>
      </c>
      <c r="W27" s="20"/>
      <c r="X27" s="20"/>
      <c r="Y27" s="20"/>
      <c r="Z27" s="7"/>
      <c r="AA27" s="7"/>
      <c r="AB27" s="7"/>
      <c r="AC27" s="7"/>
      <c r="AD27" s="7"/>
      <c r="AE27" s="7"/>
      <c r="AF27" s="7"/>
      <c r="AG27" s="7"/>
    </row>
    <row r="28" spans="1:34" ht="15.75" thickBot="1" x14ac:dyDescent="0.3">
      <c r="G28" s="32"/>
      <c r="H28" s="115" t="s">
        <v>45</v>
      </c>
      <c r="I28" s="247" t="s">
        <v>6</v>
      </c>
      <c r="J28" s="176" t="s">
        <v>7</v>
      </c>
      <c r="K28" s="173" t="s">
        <v>8</v>
      </c>
      <c r="L28" s="177" t="s">
        <v>9</v>
      </c>
      <c r="M28" s="367" t="s">
        <v>6</v>
      </c>
      <c r="N28" s="368" t="s">
        <v>7</v>
      </c>
      <c r="O28" s="369" t="s">
        <v>8</v>
      </c>
      <c r="P28" s="370" t="s">
        <v>9</v>
      </c>
      <c r="Q28" s="572" t="s">
        <v>791</v>
      </c>
      <c r="R28" s="573" t="s">
        <v>792</v>
      </c>
      <c r="S28" s="574" t="s">
        <v>793</v>
      </c>
      <c r="T28" s="575" t="s">
        <v>794</v>
      </c>
      <c r="U28" s="294">
        <v>0</v>
      </c>
      <c r="V28" s="35"/>
      <c r="W28" s="7"/>
      <c r="X28" s="7"/>
      <c r="Y28" s="7"/>
      <c r="Z28" s="7"/>
      <c r="AA28" s="7"/>
      <c r="AB28" s="7"/>
      <c r="AC28" s="7"/>
      <c r="AD28" s="18"/>
      <c r="AE28" s="18"/>
      <c r="AF28" s="18"/>
      <c r="AG28" s="18"/>
    </row>
    <row r="29" spans="1:34" ht="15.75" thickTop="1" x14ac:dyDescent="0.25">
      <c r="G29" s="7"/>
      <c r="H29" s="1266">
        <v>40940</v>
      </c>
      <c r="I29" s="450">
        <v>1.0000000000000001E-5</v>
      </c>
      <c r="J29" s="351">
        <v>1.0000000000000001E-5</v>
      </c>
      <c r="K29" s="352">
        <v>1.0000000000000001E-5</v>
      </c>
      <c r="L29" s="353">
        <v>1.0000000000000001E-5</v>
      </c>
      <c r="M29" s="354">
        <f>EXP(I29/$I$20)/(EXP($I29/$I$20)+EXP($J29/$I$20)+EXP($K29/$I$20)+EXP($L29/$I$20))</f>
        <v>0.25</v>
      </c>
      <c r="N29" s="355">
        <f t="shared" ref="M29:P41" si="0">EXP(J29/$I$20)/(EXP($I29/$I$20)+EXP($J29/$I$20)+EXP($K29/$I$20)+EXP($L29/$I$20))</f>
        <v>0.25</v>
      </c>
      <c r="O29" s="356">
        <f t="shared" si="0"/>
        <v>0.25</v>
      </c>
      <c r="P29" s="357">
        <f t="shared" si="0"/>
        <v>0.25</v>
      </c>
      <c r="Q29" s="576">
        <f>M29/SUM(M29,O29)</f>
        <v>0.5</v>
      </c>
      <c r="R29" s="577">
        <f>N29/SUM(N29,P29)</f>
        <v>0.5</v>
      </c>
      <c r="S29" s="578">
        <f>N29/SUM(N29,M29)</f>
        <v>0.5</v>
      </c>
      <c r="T29" s="579">
        <f>O29/SUM(O29,P29)</f>
        <v>0.5</v>
      </c>
      <c r="U29" s="580">
        <f t="shared" ref="U29:U42" si="1">$I$20*LN(EXP($I29/$I$20)+EXP($J29/$I$20)+EXP($K29/$I$20)+EXP($L29/$I$20))</f>
        <v>11.090364888959126</v>
      </c>
      <c r="V29" s="406">
        <f>(U29-0)</f>
        <v>11.090364888959126</v>
      </c>
      <c r="W29" s="7"/>
      <c r="X29" s="7"/>
      <c r="Y29" s="7"/>
      <c r="AA29" s="20"/>
      <c r="AB29" s="7"/>
      <c r="AC29" s="7"/>
      <c r="AD29" s="19"/>
      <c r="AE29" s="19"/>
      <c r="AF29" s="19"/>
      <c r="AG29" s="19"/>
    </row>
    <row r="30" spans="1:34" x14ac:dyDescent="0.25">
      <c r="A30" s="1275"/>
      <c r="B30" s="1276" t="s">
        <v>803</v>
      </c>
      <c r="C30" s="1276"/>
      <c r="D30" s="1276"/>
      <c r="E30" s="1276"/>
      <c r="F30" s="1277"/>
      <c r="G30" s="7"/>
      <c r="H30" s="1266">
        <v>40941</v>
      </c>
      <c r="I30" s="453">
        <v>1</v>
      </c>
      <c r="J30" s="359">
        <v>1</v>
      </c>
      <c r="K30" s="360">
        <v>1</v>
      </c>
      <c r="L30" s="361">
        <v>1</v>
      </c>
      <c r="M30" s="362">
        <f t="shared" si="0"/>
        <v>0.25</v>
      </c>
      <c r="N30" s="363">
        <f t="shared" si="0"/>
        <v>0.25</v>
      </c>
      <c r="O30" s="364">
        <f t="shared" si="0"/>
        <v>0.25</v>
      </c>
      <c r="P30" s="365">
        <f t="shared" si="0"/>
        <v>0.25</v>
      </c>
      <c r="Q30" s="581">
        <f t="shared" ref="Q30:R41" si="2">M30/SUM(M30,O30)</f>
        <v>0.5</v>
      </c>
      <c r="R30" s="582">
        <f>N30/SUM(N30,P30)</f>
        <v>0.5</v>
      </c>
      <c r="S30" s="583">
        <f>N30/SUM(N30,M30)</f>
        <v>0.5</v>
      </c>
      <c r="T30" s="584">
        <f>O30/SUM(O30,P30)</f>
        <v>0.5</v>
      </c>
      <c r="U30" s="585">
        <f t="shared" si="1"/>
        <v>12.090354888959125</v>
      </c>
      <c r="V30" s="407">
        <f t="shared" ref="V30:V40" si="3">(U30-U29)</f>
        <v>0.9999899999999986</v>
      </c>
      <c r="W30" s="7"/>
      <c r="X30" s="7"/>
      <c r="Y30" s="7"/>
      <c r="AA30" s="7"/>
      <c r="AB30" s="8"/>
      <c r="AC30" s="7"/>
      <c r="AD30" s="19"/>
      <c r="AE30" s="19"/>
      <c r="AF30" s="19"/>
      <c r="AG30" s="19"/>
    </row>
    <row r="31" spans="1:34" x14ac:dyDescent="0.25">
      <c r="A31" s="1278">
        <f>SUM(B31:E31)</f>
        <v>1</v>
      </c>
      <c r="B31" s="1279">
        <v>0.25</v>
      </c>
      <c r="C31" s="1279">
        <v>0.25</v>
      </c>
      <c r="D31" s="1279">
        <v>0.25</v>
      </c>
      <c r="E31" s="1279">
        <v>0.25</v>
      </c>
      <c r="F31" s="1280"/>
      <c r="G31" s="17"/>
      <c r="H31" s="1266">
        <v>40942</v>
      </c>
      <c r="I31" s="586">
        <v>2</v>
      </c>
      <c r="J31" s="359">
        <v>2</v>
      </c>
      <c r="K31" s="360">
        <v>2</v>
      </c>
      <c r="L31" s="361">
        <v>2</v>
      </c>
      <c r="M31" s="362">
        <f>EXP(I31/$I$20)/(EXP($I31/$I$20)+EXP($J31/$I$20)+EXP($K31/$I$20)+EXP($L31/$I$20))</f>
        <v>0.25</v>
      </c>
      <c r="N31" s="363">
        <f t="shared" si="0"/>
        <v>0.25</v>
      </c>
      <c r="O31" s="364">
        <f t="shared" si="0"/>
        <v>0.25</v>
      </c>
      <c r="P31" s="365">
        <f t="shared" si="0"/>
        <v>0.25</v>
      </c>
      <c r="Q31" s="752">
        <f>M31/SUM(M31,O31)</f>
        <v>0.5</v>
      </c>
      <c r="R31" s="582">
        <f>N31/SUM(N31,P31)</f>
        <v>0.5</v>
      </c>
      <c r="S31" s="583">
        <f>N31/SUM(N31,M31)</f>
        <v>0.5</v>
      </c>
      <c r="T31" s="589">
        <f t="shared" ref="T31:T41" si="4">O31/SUM(O31,P31)</f>
        <v>0.5</v>
      </c>
      <c r="U31" s="585">
        <f t="shared" si="1"/>
        <v>13.090354888959125</v>
      </c>
      <c r="V31" s="407">
        <f t="shared" si="3"/>
        <v>1</v>
      </c>
      <c r="W31" s="7"/>
      <c r="X31" s="309"/>
      <c r="Y31" s="309"/>
      <c r="AA31" s="7"/>
      <c r="AB31" s="8"/>
      <c r="AC31" s="7"/>
      <c r="AD31" s="19"/>
      <c r="AE31" s="19"/>
      <c r="AF31" s="19"/>
      <c r="AG31" s="19"/>
    </row>
    <row r="32" spans="1:34" x14ac:dyDescent="0.25">
      <c r="A32" s="1278">
        <f>SUM(B32:E32)</f>
        <v>1</v>
      </c>
      <c r="B32" s="1311">
        <v>0.1</v>
      </c>
      <c r="C32" s="1312">
        <v>0.2</v>
      </c>
      <c r="D32" s="1312">
        <v>0.3</v>
      </c>
      <c r="E32" s="1313">
        <v>0.4</v>
      </c>
      <c r="F32" s="1280">
        <f>SUMXMY2(B32:E32,M32:P32)</f>
        <v>3.2169981601487212E-12</v>
      </c>
      <c r="H32" s="1309">
        <v>40943</v>
      </c>
      <c r="I32" s="316">
        <v>3</v>
      </c>
      <c r="J32" s="232">
        <v>8.5450460903541874</v>
      </c>
      <c r="K32" s="231">
        <v>11.788755035481492</v>
      </c>
      <c r="L32" s="230">
        <v>14.090226754087242</v>
      </c>
      <c r="M32" s="362">
        <f t="shared" si="0"/>
        <v>0.10000150634671325</v>
      </c>
      <c r="N32" s="363">
        <f t="shared" si="0"/>
        <v>0.19999972881778538</v>
      </c>
      <c r="O32" s="364">
        <f t="shared" si="0"/>
        <v>0.29999914623744173</v>
      </c>
      <c r="P32" s="365">
        <f t="shared" si="0"/>
        <v>0.39999961859805949</v>
      </c>
      <c r="Q32" s="581">
        <f t="shared" si="2"/>
        <v>0.25000335799620782</v>
      </c>
      <c r="R32" s="587">
        <f t="shared" si="2"/>
        <v>0.3333332439096312</v>
      </c>
      <c r="S32" s="588">
        <f t="shared" ref="S32:S41" si="5">N32/SUM(N32,M32)</f>
        <v>0.66666301793097693</v>
      </c>
      <c r="T32" s="589">
        <f t="shared" si="4"/>
        <v>0.42857096513297577</v>
      </c>
      <c r="U32" s="585">
        <f t="shared" si="1"/>
        <v>21.420560237122928</v>
      </c>
      <c r="V32" s="407">
        <f t="shared" si="3"/>
        <v>8.330205348163803</v>
      </c>
      <c r="W32" s="7"/>
      <c r="X32" s="148"/>
      <c r="Y32" s="7"/>
      <c r="AA32" s="7"/>
      <c r="AB32" s="8"/>
      <c r="AC32" s="7"/>
      <c r="AD32" s="19"/>
      <c r="AE32" s="19"/>
      <c r="AF32" s="19"/>
      <c r="AG32" s="19"/>
    </row>
    <row r="33" spans="1:33" x14ac:dyDescent="0.25">
      <c r="A33" s="1278">
        <f t="shared" ref="A33:A39" si="6">SUM(B33:E33)</f>
        <v>0.99999999999999989</v>
      </c>
      <c r="B33" s="1314">
        <v>0.05</v>
      </c>
      <c r="C33" s="1315">
        <v>0.25</v>
      </c>
      <c r="D33" s="1315">
        <v>0.35</v>
      </c>
      <c r="E33" s="1316">
        <v>0.35</v>
      </c>
      <c r="F33" s="1280">
        <f>SUMXMY2(B33:E33,M33:P33)</f>
        <v>9.9999998517153159E-7</v>
      </c>
      <c r="G33" s="7"/>
      <c r="H33" s="1309">
        <v>40944</v>
      </c>
      <c r="I33" s="316">
        <v>3</v>
      </c>
      <c r="J33" s="232">
        <v>15.776140243629067</v>
      </c>
      <c r="K33" s="231">
        <v>18.445430182857088</v>
      </c>
      <c r="L33" s="230">
        <v>18.454513773938618</v>
      </c>
      <c r="M33" s="362">
        <f t="shared" si="0"/>
        <v>5.0672702701916809E-2</v>
      </c>
      <c r="N33" s="363">
        <f t="shared" si="0"/>
        <v>0.25023610390709966</v>
      </c>
      <c r="O33" s="364">
        <f t="shared" si="0"/>
        <v>0.34934715113776654</v>
      </c>
      <c r="P33" s="365">
        <f t="shared" si="0"/>
        <v>0.34974404225321715</v>
      </c>
      <c r="Q33" s="581">
        <f t="shared" si="2"/>
        <v>0.12667546926864534</v>
      </c>
      <c r="R33" s="587">
        <f t="shared" si="2"/>
        <v>0.41707397404486063</v>
      </c>
      <c r="S33" s="588">
        <f t="shared" si="5"/>
        <v>0.8316011310105722</v>
      </c>
      <c r="T33" s="589">
        <f t="shared" si="4"/>
        <v>0.49971613780919949</v>
      </c>
      <c r="U33" s="585">
        <f t="shared" si="1"/>
        <v>26.858943372999857</v>
      </c>
      <c r="V33" s="407">
        <f t="shared" si="3"/>
        <v>5.4383831358769292</v>
      </c>
      <c r="W33" s="7"/>
      <c r="X33" s="7"/>
      <c r="Y33" s="7"/>
      <c r="AA33" s="309"/>
      <c r="AB33" s="8"/>
      <c r="AC33" s="7"/>
      <c r="AD33" s="19"/>
      <c r="AE33" s="19"/>
      <c r="AF33" s="19"/>
      <c r="AG33" s="19"/>
    </row>
    <row r="34" spans="1:33" x14ac:dyDescent="0.25">
      <c r="A34" s="1278">
        <f t="shared" si="6"/>
        <v>0</v>
      </c>
      <c r="B34" s="1314"/>
      <c r="C34" s="1315"/>
      <c r="D34" s="1315"/>
      <c r="E34" s="1316"/>
      <c r="F34" s="1280"/>
      <c r="G34" s="7"/>
      <c r="H34" s="1266">
        <v>40945</v>
      </c>
      <c r="I34" s="586">
        <v>5</v>
      </c>
      <c r="J34" s="591">
        <v>5</v>
      </c>
      <c r="K34" s="592">
        <v>5</v>
      </c>
      <c r="L34" s="593">
        <v>5</v>
      </c>
      <c r="M34" s="362">
        <f t="shared" si="0"/>
        <v>0.25</v>
      </c>
      <c r="N34" s="363">
        <f t="shared" si="0"/>
        <v>0.25</v>
      </c>
      <c r="O34" s="364">
        <f t="shared" si="0"/>
        <v>0.25</v>
      </c>
      <c r="P34" s="365">
        <f t="shared" si="0"/>
        <v>0.25</v>
      </c>
      <c r="Q34" s="581">
        <f t="shared" si="2"/>
        <v>0.5</v>
      </c>
      <c r="R34" s="587">
        <f t="shared" si="2"/>
        <v>0.5</v>
      </c>
      <c r="S34" s="588">
        <f t="shared" si="5"/>
        <v>0.5</v>
      </c>
      <c r="T34" s="589">
        <f t="shared" si="4"/>
        <v>0.5</v>
      </c>
      <c r="U34" s="585">
        <f t="shared" si="1"/>
        <v>16.090354888959126</v>
      </c>
      <c r="V34" s="407">
        <f t="shared" si="3"/>
        <v>-10.76858848404073</v>
      </c>
      <c r="W34" s="7"/>
      <c r="X34" s="7"/>
      <c r="Y34" s="7"/>
      <c r="AA34" s="148"/>
      <c r="AB34" s="8"/>
      <c r="AC34" s="7"/>
      <c r="AD34" s="19"/>
      <c r="AE34" s="19"/>
      <c r="AF34" s="19"/>
      <c r="AG34" s="19"/>
    </row>
    <row r="35" spans="1:33" x14ac:dyDescent="0.25">
      <c r="A35" s="1278">
        <f t="shared" si="6"/>
        <v>1</v>
      </c>
      <c r="B35" s="1311">
        <v>0.1</v>
      </c>
      <c r="C35" s="1312">
        <v>0.2</v>
      </c>
      <c r="D35" s="1312">
        <v>0.3</v>
      </c>
      <c r="E35" s="1313">
        <v>0.4</v>
      </c>
      <c r="F35" s="1280">
        <f>SUMXMY2(B35:E35,M35:P35)</f>
        <v>3.2169981601487212E-12</v>
      </c>
      <c r="G35" s="7"/>
      <c r="H35" s="1310">
        <v>40946</v>
      </c>
      <c r="I35" s="316">
        <v>3</v>
      </c>
      <c r="J35" s="232">
        <v>8.5450460903541874</v>
      </c>
      <c r="K35" s="231">
        <v>11.788755035481492</v>
      </c>
      <c r="L35" s="230">
        <v>14.090226754087242</v>
      </c>
      <c r="M35" s="362">
        <f t="shared" si="0"/>
        <v>0.10000150634671325</v>
      </c>
      <c r="N35" s="363">
        <f t="shared" si="0"/>
        <v>0.19999972881778538</v>
      </c>
      <c r="O35" s="364">
        <f t="shared" si="0"/>
        <v>0.29999914623744173</v>
      </c>
      <c r="P35" s="365">
        <f t="shared" si="0"/>
        <v>0.39999961859805949</v>
      </c>
      <c r="Q35" s="581">
        <f t="shared" si="2"/>
        <v>0.25000335799620782</v>
      </c>
      <c r="R35" s="587">
        <f t="shared" si="2"/>
        <v>0.3333332439096312</v>
      </c>
      <c r="S35" s="588">
        <f t="shared" si="5"/>
        <v>0.66666301793097693</v>
      </c>
      <c r="T35" s="589">
        <f t="shared" si="4"/>
        <v>0.42857096513297577</v>
      </c>
      <c r="U35" s="585">
        <f t="shared" si="1"/>
        <v>21.420560237122928</v>
      </c>
      <c r="V35" s="407">
        <f t="shared" si="3"/>
        <v>5.3302053481638012</v>
      </c>
      <c r="W35" s="7"/>
      <c r="X35" s="7"/>
      <c r="Y35" s="7"/>
      <c r="AA35" s="7"/>
      <c r="AB35" s="8"/>
      <c r="AC35" s="7"/>
      <c r="AD35" s="19"/>
      <c r="AE35" s="19"/>
      <c r="AF35" s="19"/>
      <c r="AG35" s="19"/>
    </row>
    <row r="36" spans="1:33" x14ac:dyDescent="0.25">
      <c r="A36" s="1311">
        <f>SUM(B36:E36)</f>
        <v>0.99999999551530216</v>
      </c>
      <c r="B36" s="1317">
        <f>M36</f>
        <v>0.10000150127410369</v>
      </c>
      <c r="C36" s="1318">
        <f>N36</f>
        <v>0.19999971867295302</v>
      </c>
      <c r="D36" s="1318">
        <f>O36</f>
        <v>0.34999877556824549</v>
      </c>
      <c r="E36" s="1319">
        <v>0.35</v>
      </c>
      <c r="F36" s="1280">
        <f>SUMXMY2(B36:E36,M36:P36)</f>
        <v>2.0112514176189711E-17</v>
      </c>
      <c r="G36" s="7"/>
      <c r="H36" s="1310">
        <v>40947</v>
      </c>
      <c r="I36" s="316">
        <v>4.068243004643695</v>
      </c>
      <c r="J36" s="232">
        <v>9.6132890950066887</v>
      </c>
      <c r="K36" s="231">
        <v>14.090198664519377</v>
      </c>
      <c r="L36" s="230">
        <v>14.090226754087242</v>
      </c>
      <c r="M36" s="362">
        <f t="shared" si="0"/>
        <v>0.10000150127410369</v>
      </c>
      <c r="N36" s="363">
        <f t="shared" si="0"/>
        <v>0.19999971867295302</v>
      </c>
      <c r="O36" s="364">
        <f t="shared" si="0"/>
        <v>0.34999877556824549</v>
      </c>
      <c r="P36" s="365">
        <f t="shared" si="0"/>
        <v>0.35000000448469776</v>
      </c>
      <c r="Q36" s="581">
        <f t="shared" si="2"/>
        <v>0.22222542167265757</v>
      </c>
      <c r="R36" s="587">
        <f t="shared" si="2"/>
        <v>0.36363603516874049</v>
      </c>
      <c r="S36" s="588">
        <f t="shared" si="5"/>
        <v>0.66666301793122162</v>
      </c>
      <c r="T36" s="589">
        <f t="shared" si="4"/>
        <v>0.49999912220100429</v>
      </c>
      <c r="U36" s="585">
        <f t="shared" si="1"/>
        <v>22.488803647569284</v>
      </c>
      <c r="V36" s="407">
        <f t="shared" si="3"/>
        <v>1.0682434104463567</v>
      </c>
      <c r="W36" s="7"/>
      <c r="X36" s="7"/>
      <c r="Y36" s="7"/>
      <c r="AA36" s="7"/>
      <c r="AB36" s="8"/>
      <c r="AC36" s="7"/>
      <c r="AD36" s="19"/>
      <c r="AE36" s="19"/>
      <c r="AF36" s="19"/>
      <c r="AG36" s="19"/>
    </row>
    <row r="37" spans="1:33" x14ac:dyDescent="0.25">
      <c r="A37" s="1278">
        <f t="shared" si="6"/>
        <v>0</v>
      </c>
      <c r="B37" s="1278"/>
      <c r="C37" s="1279"/>
      <c r="D37" s="1279"/>
      <c r="E37" s="1280"/>
      <c r="F37" s="1280"/>
      <c r="G37" s="7"/>
      <c r="H37" s="1266">
        <v>40948</v>
      </c>
      <c r="I37" s="586">
        <v>3</v>
      </c>
      <c r="J37" s="591">
        <v>15.87450804085535</v>
      </c>
      <c r="K37" s="592">
        <v>18.56629548933655</v>
      </c>
      <c r="L37" s="593">
        <v>18.566302402544224</v>
      </c>
      <c r="M37" s="362">
        <f t="shared" si="0"/>
        <v>5.0005852744513128E-2</v>
      </c>
      <c r="N37" s="363">
        <f t="shared" si="0"/>
        <v>0.24999816018494284</v>
      </c>
      <c r="O37" s="364">
        <f t="shared" si="0"/>
        <v>0.34999784230972109</v>
      </c>
      <c r="P37" s="365">
        <f t="shared" si="0"/>
        <v>0.34999814476082292</v>
      </c>
      <c r="Q37" s="581">
        <f t="shared" si="2"/>
        <v>0.12501347703233873</v>
      </c>
      <c r="R37" s="587">
        <f t="shared" si="2"/>
        <v>0.41666616631504161</v>
      </c>
      <c r="S37" s="588">
        <f t="shared" si="5"/>
        <v>0.83331605382134777</v>
      </c>
      <c r="T37" s="589">
        <f t="shared" si="4"/>
        <v>0.49999978396226019</v>
      </c>
      <c r="U37" s="585">
        <f t="shared" si="1"/>
        <v>26.96492180411294</v>
      </c>
      <c r="V37" s="407">
        <f t="shared" si="3"/>
        <v>4.4761181565436559</v>
      </c>
      <c r="W37" s="7"/>
      <c r="X37" s="7"/>
      <c r="Y37" s="7"/>
      <c r="AA37" s="7"/>
      <c r="AB37" s="8"/>
      <c r="AC37" s="7"/>
      <c r="AD37" s="19"/>
      <c r="AE37" s="19"/>
      <c r="AF37" s="19"/>
      <c r="AG37" s="19"/>
    </row>
    <row r="38" spans="1:33" x14ac:dyDescent="0.25">
      <c r="A38" s="1278">
        <f t="shared" si="6"/>
        <v>0</v>
      </c>
      <c r="B38" s="1278"/>
      <c r="C38" s="1279"/>
      <c r="D38" s="1279"/>
      <c r="E38" s="1280"/>
      <c r="F38" s="1280"/>
      <c r="G38" s="7"/>
      <c r="H38" s="1266">
        <v>40949</v>
      </c>
      <c r="I38" s="586">
        <v>0</v>
      </c>
      <c r="J38" s="591">
        <v>0</v>
      </c>
      <c r="K38" s="592">
        <v>200</v>
      </c>
      <c r="L38" s="593">
        <v>0</v>
      </c>
      <c r="M38" s="362">
        <f t="shared" si="0"/>
        <v>1.3887943864385394E-11</v>
      </c>
      <c r="N38" s="363">
        <f t="shared" si="0"/>
        <v>1.3887943864385394E-11</v>
      </c>
      <c r="O38" s="364">
        <f t="shared" si="0"/>
        <v>0.99999999995833622</v>
      </c>
      <c r="P38" s="365">
        <f t="shared" si="0"/>
        <v>1.3887943864385394E-11</v>
      </c>
      <c r="Q38" s="581">
        <f t="shared" si="2"/>
        <v>1.3887943864771144E-11</v>
      </c>
      <c r="R38" s="587">
        <f t="shared" si="2"/>
        <v>0.5</v>
      </c>
      <c r="S38" s="588">
        <f t="shared" si="5"/>
        <v>0.5</v>
      </c>
      <c r="T38" s="589">
        <f t="shared" si="4"/>
        <v>0.99999999998611211</v>
      </c>
      <c r="U38" s="585">
        <f t="shared" si="1"/>
        <v>200.0000000003333</v>
      </c>
      <c r="V38" s="407">
        <f t="shared" si="3"/>
        <v>173.03507819622035</v>
      </c>
      <c r="W38" s="7"/>
      <c r="X38" s="7"/>
      <c r="Y38" s="7"/>
      <c r="AA38" s="7"/>
      <c r="AB38" s="8"/>
      <c r="AC38" s="7"/>
      <c r="AD38" s="19"/>
      <c r="AE38" s="19"/>
      <c r="AF38" s="19"/>
      <c r="AG38" s="19"/>
    </row>
    <row r="39" spans="1:33" x14ac:dyDescent="0.25">
      <c r="A39" s="1320">
        <f t="shared" si="6"/>
        <v>0</v>
      </c>
      <c r="B39" s="1320"/>
      <c r="C39" s="1287"/>
      <c r="D39" s="1287"/>
      <c r="E39" s="1321"/>
      <c r="F39" s="1321"/>
      <c r="G39" s="7"/>
      <c r="H39" s="1266">
        <v>40950</v>
      </c>
      <c r="I39" s="586">
        <v>0</v>
      </c>
      <c r="J39" s="591">
        <v>0</v>
      </c>
      <c r="K39" s="592">
        <v>200</v>
      </c>
      <c r="L39" s="593">
        <v>0</v>
      </c>
      <c r="M39" s="362">
        <f t="shared" si="0"/>
        <v>1.3887943864385394E-11</v>
      </c>
      <c r="N39" s="363">
        <f t="shared" si="0"/>
        <v>1.3887943864385394E-11</v>
      </c>
      <c r="O39" s="364">
        <f t="shared" si="0"/>
        <v>0.99999999995833622</v>
      </c>
      <c r="P39" s="365">
        <f t="shared" si="0"/>
        <v>1.3887943864385394E-11</v>
      </c>
      <c r="Q39" s="581">
        <f t="shared" si="2"/>
        <v>1.3887943864771144E-11</v>
      </c>
      <c r="R39" s="587">
        <f t="shared" si="2"/>
        <v>0.5</v>
      </c>
      <c r="S39" s="588">
        <f t="shared" si="5"/>
        <v>0.5</v>
      </c>
      <c r="T39" s="589">
        <f t="shared" si="4"/>
        <v>0.99999999998611211</v>
      </c>
      <c r="U39" s="585">
        <f t="shared" si="1"/>
        <v>200.0000000003333</v>
      </c>
      <c r="V39" s="407">
        <f t="shared" si="3"/>
        <v>0</v>
      </c>
      <c r="W39" s="7"/>
      <c r="X39" s="7"/>
      <c r="Y39" s="7"/>
      <c r="AA39" s="7"/>
      <c r="AB39" s="8"/>
      <c r="AC39" s="7"/>
      <c r="AD39" s="19"/>
      <c r="AE39" s="19"/>
      <c r="AF39" s="19"/>
      <c r="AG39" s="19"/>
    </row>
    <row r="40" spans="1:33" x14ac:dyDescent="0.25">
      <c r="B40" s="7"/>
      <c r="C40" s="7"/>
      <c r="D40" s="7"/>
      <c r="E40" s="7"/>
      <c r="F40" s="7"/>
      <c r="G40" s="7"/>
      <c r="H40" s="1266">
        <v>40951</v>
      </c>
      <c r="I40" s="586">
        <v>0</v>
      </c>
      <c r="J40" s="591">
        <v>0</v>
      </c>
      <c r="K40" s="592">
        <v>200</v>
      </c>
      <c r="L40" s="593">
        <v>0</v>
      </c>
      <c r="M40" s="362">
        <f>EXP(I40/$I$20)/(EXP($I40/$I$20)+EXP($J40/$I$20)+EXP($K40/$I$20)+EXP($L40/$I$20))</f>
        <v>1.3887943864385394E-11</v>
      </c>
      <c r="N40" s="363">
        <f t="shared" si="0"/>
        <v>1.3887943864385394E-11</v>
      </c>
      <c r="O40" s="364">
        <f t="shared" si="0"/>
        <v>0.99999999995833622</v>
      </c>
      <c r="P40" s="365">
        <f t="shared" si="0"/>
        <v>1.3887943864385394E-11</v>
      </c>
      <c r="Q40" s="581">
        <f t="shared" si="2"/>
        <v>1.3887943864771144E-11</v>
      </c>
      <c r="R40" s="587">
        <f t="shared" si="2"/>
        <v>0.5</v>
      </c>
      <c r="S40" s="588">
        <f t="shared" si="5"/>
        <v>0.5</v>
      </c>
      <c r="T40" s="589">
        <f t="shared" si="4"/>
        <v>0.99999999998611211</v>
      </c>
      <c r="U40" s="585">
        <f t="shared" si="1"/>
        <v>200.0000000003333</v>
      </c>
      <c r="V40" s="407">
        <f t="shared" si="3"/>
        <v>0</v>
      </c>
      <c r="W40" s="7"/>
      <c r="X40" s="7"/>
      <c r="Y40" s="7"/>
      <c r="AA40" s="7"/>
      <c r="AB40" s="8"/>
      <c r="AC40" s="7"/>
      <c r="AD40" s="19"/>
      <c r="AE40" s="19"/>
      <c r="AF40" s="19"/>
      <c r="AG40" s="19"/>
    </row>
    <row r="41" spans="1:33" ht="15.75" thickBot="1" x14ac:dyDescent="0.3">
      <c r="B41" s="7"/>
      <c r="C41" s="7"/>
      <c r="D41" s="7"/>
      <c r="E41" s="7"/>
      <c r="F41" s="7"/>
      <c r="G41" s="7"/>
      <c r="H41" s="1266">
        <v>40952</v>
      </c>
      <c r="I41" s="586">
        <v>0</v>
      </c>
      <c r="J41" s="591">
        <v>0</v>
      </c>
      <c r="K41" s="592">
        <v>200</v>
      </c>
      <c r="L41" s="593">
        <v>0</v>
      </c>
      <c r="M41" s="367">
        <f t="shared" si="0"/>
        <v>1.3887943864385394E-11</v>
      </c>
      <c r="N41" s="368">
        <f t="shared" si="0"/>
        <v>1.3887943864385394E-11</v>
      </c>
      <c r="O41" s="369">
        <f t="shared" si="0"/>
        <v>0.99999999995833622</v>
      </c>
      <c r="P41" s="370">
        <f t="shared" si="0"/>
        <v>1.3887943864385394E-11</v>
      </c>
      <c r="Q41" s="572">
        <f t="shared" si="2"/>
        <v>1.3887943864771144E-11</v>
      </c>
      <c r="R41" s="573">
        <f t="shared" si="2"/>
        <v>0.5</v>
      </c>
      <c r="S41" s="574">
        <f t="shared" si="5"/>
        <v>0.5</v>
      </c>
      <c r="T41" s="575">
        <f t="shared" si="4"/>
        <v>0.99999999998611211</v>
      </c>
      <c r="U41" s="595">
        <f t="shared" si="1"/>
        <v>200.0000000003333</v>
      </c>
      <c r="V41" s="408">
        <f>(U41-U40)</f>
        <v>0</v>
      </c>
      <c r="W41" s="7"/>
      <c r="X41" s="7"/>
      <c r="Y41" s="7"/>
      <c r="AA41" s="7"/>
      <c r="AB41" s="8"/>
      <c r="AC41" s="7"/>
      <c r="AD41" s="19"/>
      <c r="AE41" s="19"/>
      <c r="AF41" s="19"/>
      <c r="AG41" s="19"/>
    </row>
    <row r="42" spans="1:33" ht="16.5" thickTop="1" thickBot="1" x14ac:dyDescent="0.3">
      <c r="B42" s="7"/>
      <c r="C42" s="7"/>
      <c r="D42" s="7"/>
      <c r="E42" s="7"/>
      <c r="F42" s="7"/>
      <c r="G42" s="7"/>
      <c r="H42" s="1266">
        <v>40953</v>
      </c>
      <c r="I42" s="376">
        <f>I41</f>
        <v>0</v>
      </c>
      <c r="J42" s="372">
        <f>J41</f>
        <v>0</v>
      </c>
      <c r="K42" s="373">
        <f>K41</f>
        <v>200</v>
      </c>
      <c r="L42" s="374">
        <f>L41</f>
        <v>0</v>
      </c>
      <c r="M42" s="555">
        <v>0</v>
      </c>
      <c r="N42" s="556">
        <v>0</v>
      </c>
      <c r="O42" s="556">
        <v>1</v>
      </c>
      <c r="P42" s="557">
        <v>0</v>
      </c>
      <c r="Q42" s="596">
        <f>IFERROR( M42/SUM(M42,O42), 0)</f>
        <v>0</v>
      </c>
      <c r="R42" s="597">
        <f>IFERROR( N42/SUM(N42,P42), 0)</f>
        <v>0</v>
      </c>
      <c r="S42" s="598">
        <f>IFERROR( O42/SUM(O42,Q42), 0)</f>
        <v>1</v>
      </c>
      <c r="T42" s="599">
        <f>IFERROR( P42/SUM(P42,R42), 0)</f>
        <v>0</v>
      </c>
      <c r="U42" s="439">
        <f t="shared" si="1"/>
        <v>200.0000000003333</v>
      </c>
      <c r="V42" s="8"/>
      <c r="X42" s="8"/>
      <c r="Y42" s="8"/>
      <c r="AA42" s="7"/>
      <c r="AB42" s="7"/>
      <c r="AC42" s="7"/>
      <c r="AD42" s="7"/>
      <c r="AE42" s="7"/>
      <c r="AF42" s="7"/>
      <c r="AG42" s="7"/>
    </row>
    <row r="43" spans="1:33" ht="15.75" thickBot="1" x14ac:dyDescent="0.3">
      <c r="B43" s="7"/>
      <c r="C43" s="7"/>
      <c r="D43" s="7"/>
      <c r="F43" s="7"/>
      <c r="G43" s="7"/>
      <c r="H43" s="7"/>
      <c r="U43" s="263">
        <f>SUMPRODUCT(I42:L42,M42:P42)</f>
        <v>200</v>
      </c>
      <c r="AA43" s="7"/>
    </row>
    <row r="44" spans="1:33" ht="15.75" thickBot="1" x14ac:dyDescent="0.3">
      <c r="B44" s="7"/>
      <c r="C44" s="7"/>
      <c r="D44" s="7"/>
      <c r="F44" s="7" t="s">
        <v>801</v>
      </c>
      <c r="G44" s="7"/>
      <c r="H44" s="7"/>
      <c r="U44" s="263">
        <f>U42-U43</f>
        <v>3.333013864903478E-10</v>
      </c>
      <c r="AA44" s="7"/>
    </row>
    <row r="45" spans="1:33" x14ac:dyDescent="0.25">
      <c r="B45" s="7"/>
      <c r="C45" s="7"/>
      <c r="D45" s="7"/>
      <c r="F45" s="7" t="s">
        <v>802</v>
      </c>
      <c r="G45" s="7"/>
      <c r="H45" s="7"/>
      <c r="U45" s="1273"/>
      <c r="AA45" s="7"/>
    </row>
    <row r="46" spans="1:33" x14ac:dyDescent="0.25">
      <c r="B46" s="7"/>
      <c r="C46" s="7"/>
      <c r="D46" s="7"/>
      <c r="F46" s="7" t="s">
        <v>800</v>
      </c>
      <c r="G46" s="7"/>
      <c r="I46" s="140"/>
      <c r="J46" s="140"/>
      <c r="K46" s="140"/>
      <c r="L46" s="140"/>
      <c r="M46" s="147"/>
      <c r="N46" s="147"/>
      <c r="O46" s="145"/>
      <c r="P46" s="8"/>
      <c r="Q46" s="8"/>
      <c r="R46" s="8"/>
      <c r="S46" s="8"/>
      <c r="T46" s="8"/>
      <c r="U46" s="8"/>
      <c r="AA46" s="7"/>
    </row>
    <row r="47" spans="1:33" ht="15.75" thickBot="1" x14ac:dyDescent="0.3">
      <c r="B47" s="7"/>
      <c r="C47" s="7"/>
      <c r="D47" s="7"/>
      <c r="F47" s="7"/>
      <c r="G47" s="7"/>
      <c r="H47" s="600"/>
      <c r="I47" s="140"/>
      <c r="J47" s="140"/>
      <c r="K47" s="140"/>
      <c r="L47" s="140"/>
      <c r="M47" s="147"/>
      <c r="N47" s="147"/>
      <c r="O47" s="145"/>
      <c r="P47" s="8"/>
      <c r="Q47" s="8"/>
      <c r="R47" s="8"/>
      <c r="S47" s="8"/>
      <c r="T47" s="8"/>
      <c r="U47" s="8"/>
      <c r="AA47" s="7"/>
    </row>
    <row r="48" spans="1:33" ht="21" x14ac:dyDescent="0.35">
      <c r="B48" s="7"/>
      <c r="C48" s="7"/>
      <c r="D48" s="7"/>
      <c r="E48" s="9"/>
      <c r="F48" s="601" t="s">
        <v>833</v>
      </c>
      <c r="G48" s="10"/>
      <c r="H48" s="602"/>
      <c r="I48" s="273"/>
      <c r="J48" s="273"/>
      <c r="K48" s="273"/>
      <c r="L48" s="273"/>
      <c r="M48" s="603"/>
      <c r="N48" s="603"/>
      <c r="O48" s="604"/>
      <c r="P48" s="605"/>
      <c r="Q48" s="605"/>
      <c r="R48" s="605"/>
      <c r="S48" s="605"/>
      <c r="T48" s="605"/>
      <c r="U48" s="606"/>
      <c r="AA48" s="7"/>
    </row>
    <row r="49" spans="2:27" x14ac:dyDescent="0.25">
      <c r="B49" s="7"/>
      <c r="C49" s="7"/>
      <c r="D49" s="7"/>
      <c r="E49" s="114"/>
      <c r="F49" s="7" t="s">
        <v>846</v>
      </c>
      <c r="G49" s="7"/>
      <c r="H49" s="600"/>
      <c r="I49" s="140"/>
      <c r="J49" s="140"/>
      <c r="K49" s="140"/>
      <c r="L49" s="140"/>
      <c r="M49" s="147"/>
      <c r="N49" s="147"/>
      <c r="O49" s="145"/>
      <c r="P49" s="8"/>
      <c r="Q49" s="8"/>
      <c r="R49" s="8"/>
      <c r="S49" s="8"/>
      <c r="T49" s="8"/>
      <c r="U49" s="607"/>
      <c r="AA49" s="7"/>
    </row>
    <row r="50" spans="2:27" x14ac:dyDescent="0.25">
      <c r="B50" s="7"/>
      <c r="C50" s="7"/>
      <c r="D50" s="7"/>
      <c r="E50" s="114"/>
      <c r="F50" s="8" t="s">
        <v>1169</v>
      </c>
      <c r="G50" s="7"/>
      <c r="H50" s="600"/>
      <c r="I50" s="140"/>
      <c r="J50" s="140"/>
      <c r="K50" s="140"/>
      <c r="L50" s="140"/>
      <c r="M50" s="147"/>
      <c r="N50" s="147"/>
      <c r="O50" s="145"/>
      <c r="P50" s="8"/>
      <c r="Q50" s="8"/>
      <c r="R50" s="8"/>
      <c r="S50" s="8"/>
      <c r="T50" s="8"/>
      <c r="U50" s="607"/>
      <c r="AA50" s="7"/>
    </row>
    <row r="51" spans="2:27" x14ac:dyDescent="0.25">
      <c r="B51" s="7"/>
      <c r="C51" s="7"/>
      <c r="D51" s="7"/>
      <c r="E51" s="114"/>
      <c r="F51" s="7"/>
      <c r="G51" s="7"/>
      <c r="H51" s="600"/>
      <c r="I51" s="140"/>
      <c r="J51" s="140"/>
      <c r="K51" s="140"/>
      <c r="L51" s="140"/>
      <c r="M51" s="147"/>
      <c r="N51" s="147"/>
      <c r="O51" s="145"/>
      <c r="P51" s="8"/>
      <c r="Q51" s="8"/>
      <c r="R51" s="8"/>
      <c r="S51" s="8"/>
      <c r="T51" s="8"/>
      <c r="U51" s="607"/>
      <c r="AA51" s="7"/>
    </row>
    <row r="52" spans="2:27" x14ac:dyDescent="0.25">
      <c r="B52" s="7"/>
      <c r="C52" s="7"/>
      <c r="D52" s="7"/>
      <c r="E52" s="114"/>
      <c r="F52" s="7"/>
      <c r="G52" s="7"/>
      <c r="H52" s="600"/>
      <c r="I52" s="140"/>
      <c r="J52" s="140"/>
      <c r="K52" s="140"/>
      <c r="L52" s="140"/>
      <c r="M52" s="147"/>
      <c r="N52" s="147"/>
      <c r="O52" s="145"/>
      <c r="P52" s="8"/>
      <c r="Q52" s="8"/>
      <c r="R52" s="8"/>
      <c r="S52" s="8"/>
      <c r="T52" s="8"/>
      <c r="U52" s="607"/>
      <c r="AA52" s="7"/>
    </row>
    <row r="53" spans="2:27" x14ac:dyDescent="0.25">
      <c r="B53" s="7"/>
      <c r="C53" s="7"/>
      <c r="D53" s="7"/>
      <c r="E53" s="114"/>
      <c r="F53" s="7"/>
      <c r="G53" s="7"/>
      <c r="H53" s="600" t="s">
        <v>1170</v>
      </c>
      <c r="I53" s="140"/>
      <c r="J53" s="140"/>
      <c r="K53" s="140"/>
      <c r="L53" s="140"/>
      <c r="M53" s="147"/>
      <c r="N53" s="147"/>
      <c r="O53" s="145"/>
      <c r="P53" s="8"/>
      <c r="Q53" s="8"/>
      <c r="R53" s="8"/>
      <c r="S53" s="8"/>
      <c r="T53" s="8"/>
      <c r="U53" s="607"/>
      <c r="AA53" s="7"/>
    </row>
    <row r="54" spans="2:27" x14ac:dyDescent="0.25">
      <c r="B54" s="7"/>
      <c r="C54" s="7"/>
      <c r="D54" s="7"/>
      <c r="E54" s="114"/>
      <c r="F54" s="7"/>
      <c r="G54" s="7"/>
      <c r="H54" s="8" t="s">
        <v>817</v>
      </c>
      <c r="I54" s="17"/>
      <c r="J54" s="17"/>
      <c r="K54" s="17"/>
      <c r="L54" s="17"/>
      <c r="M54" s="544"/>
      <c r="N54" s="544"/>
      <c r="O54" s="608"/>
      <c r="P54" s="7"/>
      <c r="Q54" s="7"/>
      <c r="R54" s="8"/>
      <c r="S54" s="609"/>
      <c r="T54" s="609"/>
      <c r="U54" s="610"/>
      <c r="AA54" s="7"/>
    </row>
    <row r="55" spans="2:27" x14ac:dyDescent="0.25">
      <c r="B55" s="7"/>
      <c r="C55" s="7"/>
      <c r="D55" s="7"/>
      <c r="E55" s="114"/>
      <c r="F55" s="7"/>
      <c r="G55" s="7"/>
      <c r="H55" s="611">
        <v>4</v>
      </c>
      <c r="I55" s="17"/>
      <c r="J55" s="254" t="s">
        <v>246</v>
      </c>
      <c r="K55" s="254" t="s">
        <v>245</v>
      </c>
      <c r="L55" s="608"/>
      <c r="M55" s="7"/>
      <c r="N55" s="32" t="s">
        <v>828</v>
      </c>
      <c r="O55" s="7"/>
      <c r="P55" s="7"/>
      <c r="Q55" s="7"/>
      <c r="R55" s="8"/>
      <c r="S55" s="609"/>
      <c r="T55" s="609"/>
      <c r="U55" s="610"/>
      <c r="AA55" s="7"/>
    </row>
    <row r="56" spans="2:27" x14ac:dyDescent="0.25">
      <c r="B56" s="7"/>
      <c r="C56" s="7"/>
      <c r="D56" s="7"/>
      <c r="E56" s="114"/>
      <c r="F56" s="7"/>
      <c r="G56" s="7"/>
      <c r="I56" s="21" t="s">
        <v>797</v>
      </c>
      <c r="J56" s="612">
        <f>M32</f>
        <v>0.10000150634671325</v>
      </c>
      <c r="K56" s="613">
        <f>N32</f>
        <v>0.19999972881778538</v>
      </c>
      <c r="L56" s="608">
        <f>SUM(J56:K56)</f>
        <v>0.30000123516449861</v>
      </c>
      <c r="M56" s="7"/>
      <c r="N56" s="753">
        <f>K56/SUM(J56:K56)</f>
        <v>0.66666301793097693</v>
      </c>
      <c r="P56" s="7"/>
      <c r="Q56" s="7"/>
      <c r="R56" s="8"/>
      <c r="S56" s="609"/>
      <c r="T56" s="609"/>
      <c r="U56" s="610"/>
      <c r="AA56" s="7"/>
    </row>
    <row r="57" spans="2:27" x14ac:dyDescent="0.25">
      <c r="B57" s="7"/>
      <c r="C57" s="7"/>
      <c r="D57" s="7"/>
      <c r="E57" s="114"/>
      <c r="F57" s="7" t="s">
        <v>829</v>
      </c>
      <c r="G57" s="7"/>
      <c r="I57" s="21" t="s">
        <v>798</v>
      </c>
      <c r="J57" s="616">
        <f>O32</f>
        <v>0.29999914623744173</v>
      </c>
      <c r="K57" s="617">
        <f>P32</f>
        <v>0.39999961859805949</v>
      </c>
      <c r="L57" s="608">
        <f>SUM(J57:K57)</f>
        <v>0.69999876483550127</v>
      </c>
      <c r="M57" s="7"/>
      <c r="N57" s="754">
        <f>K57/SUM(J57:K57)</f>
        <v>0.57142903486702412</v>
      </c>
      <c r="O57" s="7"/>
      <c r="Q57" s="7"/>
      <c r="R57" s="8"/>
      <c r="S57" s="609"/>
      <c r="T57" s="609"/>
      <c r="U57" s="610"/>
      <c r="AA57" s="7"/>
    </row>
    <row r="58" spans="2:27" x14ac:dyDescent="0.25">
      <c r="B58" s="7"/>
      <c r="C58" s="7"/>
      <c r="D58" s="7"/>
      <c r="E58" s="114"/>
      <c r="F58" s="7" t="s">
        <v>830</v>
      </c>
      <c r="G58" s="7"/>
      <c r="H58" s="17"/>
      <c r="I58" s="17"/>
      <c r="J58" s="147">
        <f>SUM(J56:J57)</f>
        <v>0.40000065258415496</v>
      </c>
      <c r="K58" s="1343">
        <f>SUM(K56:K57)</f>
        <v>0.59999934741584493</v>
      </c>
      <c r="L58" s="608">
        <f>SUM(J56:K57)</f>
        <v>0.99999999999999978</v>
      </c>
      <c r="M58" s="7"/>
      <c r="N58" s="755"/>
      <c r="O58" s="7"/>
      <c r="P58" s="7"/>
      <c r="Q58" s="7"/>
      <c r="R58" s="8"/>
      <c r="S58" s="609"/>
      <c r="T58" s="609"/>
      <c r="U58" s="610"/>
      <c r="AA58" s="7"/>
    </row>
    <row r="59" spans="2:27" x14ac:dyDescent="0.25">
      <c r="B59" s="7"/>
      <c r="C59" s="7"/>
      <c r="D59" s="7"/>
      <c r="E59" s="114"/>
      <c r="F59" s="7"/>
      <c r="G59" s="7"/>
      <c r="H59" s="17"/>
      <c r="I59" s="17"/>
      <c r="J59" s="17"/>
      <c r="K59" s="17"/>
      <c r="L59" s="7"/>
      <c r="M59" s="7"/>
      <c r="N59" s="755"/>
      <c r="O59" s="7"/>
      <c r="P59" s="7"/>
      <c r="Q59" s="619"/>
      <c r="R59" s="8"/>
      <c r="S59" s="609"/>
      <c r="T59" s="609"/>
      <c r="U59" s="610"/>
      <c r="AA59" s="7"/>
    </row>
    <row r="60" spans="2:27" ht="15.75" thickBot="1" x14ac:dyDescent="0.3">
      <c r="B60" s="7"/>
      <c r="C60" s="7"/>
      <c r="D60" s="7"/>
      <c r="E60" s="114"/>
      <c r="F60" s="7"/>
      <c r="G60" s="7"/>
      <c r="H60" s="560"/>
      <c r="I60" s="756" t="s">
        <v>799</v>
      </c>
      <c r="J60" s="757">
        <f>J57/SUM(J56:J57)</f>
        <v>0.74999664200379224</v>
      </c>
      <c r="K60" s="757">
        <f>K57/SUM(K56:K57)</f>
        <v>0.66666675609036874</v>
      </c>
      <c r="L60" s="560"/>
      <c r="M60" s="560"/>
      <c r="N60" s="755"/>
      <c r="O60" s="560"/>
      <c r="P60" s="560"/>
      <c r="Q60" s="7" t="s">
        <v>247</v>
      </c>
      <c r="R60" s="8"/>
      <c r="S60" s="620"/>
      <c r="T60" s="620"/>
      <c r="U60" s="621"/>
      <c r="AA60" s="7"/>
    </row>
    <row r="61" spans="2:27" x14ac:dyDescent="0.25">
      <c r="B61" s="7"/>
      <c r="C61" s="7"/>
      <c r="D61" s="7"/>
      <c r="E61" s="114"/>
      <c r="F61" s="7"/>
      <c r="G61" s="7"/>
      <c r="H61" s="560"/>
      <c r="I61" s="560"/>
      <c r="J61" s="560"/>
      <c r="K61" s="560"/>
      <c r="L61" s="560"/>
      <c r="M61" s="560"/>
      <c r="N61" s="758"/>
      <c r="O61" s="560"/>
      <c r="P61" s="560"/>
      <c r="Q61" s="1327">
        <f>MIN($V$33)</f>
        <v>5.4383831358769292</v>
      </c>
      <c r="R61" s="1328">
        <f>COUNT($I$33:$L$33)</f>
        <v>4</v>
      </c>
      <c r="S61" s="623"/>
      <c r="T61" s="623"/>
      <c r="U61" s="624"/>
      <c r="AA61" s="7"/>
    </row>
    <row r="62" spans="2:27" x14ac:dyDescent="0.25">
      <c r="B62" s="7"/>
      <c r="C62" s="7"/>
      <c r="D62" s="7"/>
      <c r="E62" s="114"/>
      <c r="F62" s="7"/>
      <c r="G62" s="7"/>
      <c r="H62" s="17"/>
      <c r="I62" s="17"/>
      <c r="J62" s="17"/>
      <c r="K62" s="17"/>
      <c r="L62" s="7"/>
      <c r="M62" s="7"/>
      <c r="N62" s="758"/>
      <c r="O62" s="7"/>
      <c r="P62" s="7"/>
      <c r="Q62" s="1329" t="b">
        <f>$F$33=0</f>
        <v>0</v>
      </c>
      <c r="R62" s="1330" t="b">
        <f t="array" ref="R62">$I$32:$L$32&lt;=$I$33:$L$33</f>
        <v>1</v>
      </c>
      <c r="S62" s="620"/>
      <c r="T62" s="620"/>
      <c r="U62" s="621"/>
      <c r="AA62" s="7"/>
    </row>
    <row r="63" spans="2:27" ht="15.75" thickBot="1" x14ac:dyDescent="0.3">
      <c r="B63" s="7"/>
      <c r="C63" s="7"/>
      <c r="D63" s="7"/>
      <c r="E63" s="114"/>
      <c r="F63" s="7"/>
      <c r="G63" s="7"/>
      <c r="H63" s="625">
        <v>5</v>
      </c>
      <c r="I63" s="17"/>
      <c r="J63" s="254" t="s">
        <v>246</v>
      </c>
      <c r="K63" s="254" t="s">
        <v>245</v>
      </c>
      <c r="L63" s="608"/>
      <c r="M63" s="7"/>
      <c r="N63" s="32" t="s">
        <v>828</v>
      </c>
      <c r="O63" s="7"/>
      <c r="P63" s="7"/>
      <c r="Q63" s="1331">
        <f>{32767,32767,0.000001,0.01,FALSE,FALSE,TRUE,1,1,1,0.0001,FALSE}</f>
        <v>32767</v>
      </c>
      <c r="R63" s="1332">
        <f>{0,0,1,100,0,FALSE,TRUE,0.075,0,0,FALSE,30}</f>
        <v>0</v>
      </c>
      <c r="S63" s="7"/>
      <c r="T63" s="7"/>
      <c r="U63" s="100"/>
      <c r="AA63" s="7"/>
    </row>
    <row r="64" spans="2:27" x14ac:dyDescent="0.25">
      <c r="B64" s="7"/>
      <c r="C64" s="7"/>
      <c r="D64" s="7"/>
      <c r="E64" s="114"/>
      <c r="F64" s="7" t="s">
        <v>831</v>
      </c>
      <c r="G64" s="7"/>
      <c r="I64" s="21" t="s">
        <v>797</v>
      </c>
      <c r="J64" s="612">
        <f>M33</f>
        <v>5.0672702701916809E-2</v>
      </c>
      <c r="K64" s="613">
        <f>N33</f>
        <v>0.25023610390709966</v>
      </c>
      <c r="L64" s="608">
        <f>SUM(J64:K64)</f>
        <v>0.30090880660901648</v>
      </c>
      <c r="M64" s="7"/>
      <c r="N64" s="753">
        <f>K64/SUM(J64:K64)</f>
        <v>0.8316011310105722</v>
      </c>
      <c r="O64" s="7"/>
      <c r="P64" s="7"/>
      <c r="Q64" s="7"/>
      <c r="R64" s="7"/>
      <c r="S64" s="7"/>
      <c r="T64" s="7"/>
      <c r="U64" s="100"/>
      <c r="AA64" s="7"/>
    </row>
    <row r="65" spans="2:27" x14ac:dyDescent="0.25">
      <c r="B65" s="7"/>
      <c r="C65" s="7"/>
      <c r="D65" s="7"/>
      <c r="E65" s="114"/>
      <c r="F65" s="7" t="s">
        <v>832</v>
      </c>
      <c r="G65" s="7"/>
      <c r="I65" s="21" t="s">
        <v>798</v>
      </c>
      <c r="J65" s="616">
        <f>O33</f>
        <v>0.34934715113776654</v>
      </c>
      <c r="K65" s="617">
        <f>P33</f>
        <v>0.34974404225321715</v>
      </c>
      <c r="L65" s="608">
        <f>SUM(J65:K65)</f>
        <v>0.69909119339098369</v>
      </c>
      <c r="M65" s="7"/>
      <c r="N65" s="754">
        <f>K65/SUM(J65:K65)</f>
        <v>0.50028386219080045</v>
      </c>
      <c r="O65" s="7"/>
      <c r="P65" s="7"/>
      <c r="Q65" s="7"/>
      <c r="R65" s="8"/>
      <c r="S65" s="623"/>
      <c r="T65" s="623"/>
      <c r="U65" s="624"/>
      <c r="AA65" s="7"/>
    </row>
    <row r="66" spans="2:27" x14ac:dyDescent="0.25">
      <c r="B66" s="7"/>
      <c r="C66" s="7"/>
      <c r="D66" s="7"/>
      <c r="E66" s="114"/>
      <c r="F66" s="7"/>
      <c r="G66" s="7"/>
      <c r="H66" s="17"/>
      <c r="I66" s="17"/>
      <c r="J66" s="147">
        <f>SUM(J64:J65)</f>
        <v>0.40001985383968336</v>
      </c>
      <c r="K66" s="1344">
        <f>SUM(K64:K65)</f>
        <v>0.59998014616031681</v>
      </c>
      <c r="L66" s="608">
        <f>SUM(J64:K65)</f>
        <v>1.0000000000000002</v>
      </c>
      <c r="M66" s="7"/>
      <c r="N66" s="32"/>
      <c r="O66" s="7"/>
      <c r="P66" s="7"/>
      <c r="Q66" s="7"/>
      <c r="R66" s="8"/>
      <c r="S66" s="620"/>
      <c r="T66" s="620"/>
      <c r="U66" s="621"/>
      <c r="AA66" s="7"/>
    </row>
    <row r="67" spans="2:27" x14ac:dyDescent="0.25">
      <c r="B67" s="7"/>
      <c r="C67" s="7"/>
      <c r="D67" s="7"/>
      <c r="E67" s="114"/>
      <c r="F67" s="7"/>
      <c r="G67" s="7"/>
      <c r="H67" s="17"/>
      <c r="I67" s="17"/>
      <c r="J67" s="17"/>
      <c r="K67" s="17"/>
      <c r="L67" s="7"/>
      <c r="M67" s="7"/>
      <c r="N67" s="615" t="s">
        <v>825</v>
      </c>
      <c r="O67" s="7"/>
      <c r="P67" s="7"/>
      <c r="Q67" s="7"/>
      <c r="R67" s="8"/>
      <c r="S67" s="620"/>
      <c r="T67" s="620"/>
      <c r="U67" s="621"/>
      <c r="AA67" s="7"/>
    </row>
    <row r="68" spans="2:27" x14ac:dyDescent="0.25">
      <c r="B68" s="7"/>
      <c r="C68" s="7"/>
      <c r="D68" s="7"/>
      <c r="E68" s="114"/>
      <c r="F68" s="7"/>
      <c r="G68" s="7"/>
      <c r="I68" s="756" t="s">
        <v>799</v>
      </c>
      <c r="J68" s="757">
        <f>J65/SUM(J64:J65)</f>
        <v>0.87332453073135463</v>
      </c>
      <c r="K68" s="757">
        <f>K65/SUM(K64:K65)</f>
        <v>0.58292602595513932</v>
      </c>
      <c r="L68" s="560"/>
      <c r="M68" s="560"/>
      <c r="N68" s="560"/>
      <c r="O68" s="7" t="s">
        <v>826</v>
      </c>
      <c r="P68" s="560"/>
      <c r="R68" s="8"/>
      <c r="S68" s="620"/>
      <c r="T68" s="620"/>
      <c r="U68" s="621"/>
      <c r="AA68" s="7"/>
    </row>
    <row r="69" spans="2:27" x14ac:dyDescent="0.25">
      <c r="B69" s="7"/>
      <c r="C69" s="7"/>
      <c r="D69" s="7"/>
      <c r="E69" s="114"/>
      <c r="F69" s="7"/>
      <c r="G69" s="7"/>
      <c r="J69" s="560"/>
      <c r="K69" s="560"/>
      <c r="L69" s="560"/>
      <c r="M69" s="560"/>
      <c r="N69" s="560"/>
      <c r="O69" s="189" t="s">
        <v>852</v>
      </c>
      <c r="P69" s="560"/>
      <c r="Q69" s="560"/>
      <c r="R69" s="8"/>
      <c r="S69" s="620"/>
      <c r="T69" s="620"/>
      <c r="U69" s="621"/>
      <c r="AA69" s="7"/>
    </row>
    <row r="70" spans="2:27" x14ac:dyDescent="0.25">
      <c r="B70" s="7"/>
      <c r="C70" s="7"/>
      <c r="D70" s="7"/>
      <c r="E70" s="114"/>
      <c r="F70" s="7"/>
      <c r="G70" s="7"/>
      <c r="H70" s="7"/>
      <c r="I70" s="17"/>
      <c r="J70" s="17"/>
      <c r="K70" s="17"/>
      <c r="L70" s="17"/>
      <c r="M70" s="17"/>
      <c r="N70" s="17"/>
      <c r="O70" s="7"/>
      <c r="P70" s="7"/>
      <c r="Q70" s="7"/>
      <c r="R70" s="7"/>
      <c r="S70" s="7"/>
      <c r="T70" s="7"/>
      <c r="U70" s="607"/>
      <c r="V70" s="7"/>
      <c r="AA70" s="8"/>
    </row>
    <row r="71" spans="2:27" x14ac:dyDescent="0.25">
      <c r="B71" s="7"/>
      <c r="C71" s="7"/>
      <c r="D71" s="7"/>
      <c r="E71" s="114"/>
      <c r="F71" s="189" t="s">
        <v>850</v>
      </c>
      <c r="I71" s="718">
        <f>I33-I32</f>
        <v>0</v>
      </c>
      <c r="J71" s="718">
        <f>J33-J32</f>
        <v>7.2310941532748796</v>
      </c>
      <c r="K71" s="718">
        <f>K33-K32</f>
        <v>6.6566751473755961</v>
      </c>
      <c r="L71" s="718">
        <f>L33-L32</f>
        <v>4.3642870198513766</v>
      </c>
      <c r="N71" s="17"/>
      <c r="O71" s="7"/>
      <c r="P71" s="7"/>
      <c r="Q71" s="7"/>
      <c r="R71" s="7"/>
      <c r="S71" s="7"/>
      <c r="T71" s="7"/>
      <c r="U71" s="100"/>
      <c r="V71" s="54"/>
    </row>
    <row r="72" spans="2:27" x14ac:dyDescent="0.25">
      <c r="B72" s="7"/>
      <c r="C72" s="7"/>
      <c r="D72" s="7"/>
      <c r="E72" s="114"/>
      <c r="F72" s="245"/>
      <c r="G72" s="245"/>
      <c r="H72" s="682"/>
      <c r="I72" s="1345"/>
      <c r="J72" s="1345"/>
      <c r="K72" s="1345"/>
      <c r="L72" s="1345"/>
      <c r="M72" s="257"/>
      <c r="N72" s="257"/>
      <c r="O72" s="245"/>
      <c r="P72" s="245"/>
      <c r="Q72" s="245"/>
      <c r="R72" s="245"/>
      <c r="S72" s="245"/>
      <c r="T72" s="245"/>
      <c r="U72" s="100"/>
      <c r="V72" s="54"/>
    </row>
    <row r="73" spans="2:27" ht="15.75" thickBot="1" x14ac:dyDescent="0.3">
      <c r="B73" s="7"/>
      <c r="C73" s="7"/>
      <c r="D73" s="7"/>
      <c r="E73" s="114"/>
      <c r="F73" s="7"/>
      <c r="G73" s="7"/>
      <c r="H73" s="7"/>
      <c r="I73" s="17"/>
      <c r="J73" s="17"/>
      <c r="K73" s="17"/>
      <c r="L73" s="17"/>
      <c r="M73" s="17"/>
      <c r="N73" s="17"/>
      <c r="O73" s="7"/>
      <c r="P73" s="7"/>
      <c r="Q73" s="7"/>
      <c r="R73" s="7"/>
      <c r="S73" s="7"/>
      <c r="T73" s="7"/>
      <c r="U73" s="100"/>
      <c r="V73" s="194"/>
      <c r="W73" s="7"/>
    </row>
    <row r="74" spans="2:27" x14ac:dyDescent="0.25">
      <c r="B74" s="7"/>
      <c r="C74" s="7"/>
      <c r="D74" s="7"/>
      <c r="E74" s="114"/>
      <c r="F74" s="7" t="s">
        <v>834</v>
      </c>
      <c r="H74" s="7"/>
      <c r="I74" s="7"/>
      <c r="J74" s="17"/>
      <c r="K74" s="17"/>
      <c r="L74" s="17"/>
      <c r="M74" s="627" t="s">
        <v>248</v>
      </c>
      <c r="N74" s="274">
        <v>1</v>
      </c>
      <c r="O74" s="274">
        <v>0</v>
      </c>
      <c r="P74" s="274">
        <v>0</v>
      </c>
      <c r="Q74" s="165">
        <v>0</v>
      </c>
      <c r="R74" s="7"/>
      <c r="S74" s="7"/>
      <c r="T74" s="7"/>
      <c r="U74" s="100"/>
      <c r="V74" s="194"/>
      <c r="W74" s="7"/>
    </row>
    <row r="75" spans="2:27" x14ac:dyDescent="0.25">
      <c r="B75" s="7"/>
      <c r="C75" s="7"/>
      <c r="D75" s="7"/>
      <c r="E75" s="114"/>
      <c r="G75" s="7"/>
      <c r="H75" s="7"/>
      <c r="I75" s="7"/>
      <c r="J75" s="17"/>
      <c r="K75" s="17"/>
      <c r="L75" s="17"/>
      <c r="M75" s="628" t="s">
        <v>249</v>
      </c>
      <c r="N75" s="18">
        <v>0</v>
      </c>
      <c r="O75" s="18">
        <v>1</v>
      </c>
      <c r="P75" s="18">
        <v>0</v>
      </c>
      <c r="Q75" s="181">
        <v>0</v>
      </c>
      <c r="R75" s="7"/>
      <c r="S75" s="7"/>
      <c r="T75" s="7"/>
      <c r="U75" s="100"/>
      <c r="V75" s="255"/>
      <c r="W75" s="255"/>
      <c r="X75" s="255"/>
      <c r="Y75" s="255"/>
    </row>
    <row r="76" spans="2:27" x14ac:dyDescent="0.25">
      <c r="B76" s="7"/>
      <c r="C76" s="7"/>
      <c r="D76" s="7"/>
      <c r="E76" s="114"/>
      <c r="G76" s="7"/>
      <c r="H76" s="7"/>
      <c r="I76" s="7"/>
      <c r="J76" s="17"/>
      <c r="K76" s="17"/>
      <c r="L76" s="17"/>
      <c r="M76" s="628" t="s">
        <v>250</v>
      </c>
      <c r="N76" s="18">
        <v>0</v>
      </c>
      <c r="O76" s="18">
        <v>0</v>
      </c>
      <c r="P76" s="18">
        <v>1</v>
      </c>
      <c r="Q76" s="181">
        <v>0</v>
      </c>
      <c r="R76" s="7"/>
      <c r="S76" s="7"/>
      <c r="T76" s="7"/>
      <c r="U76" s="100"/>
      <c r="V76" s="255"/>
      <c r="W76" s="255"/>
      <c r="X76" s="255"/>
      <c r="Y76" s="255"/>
    </row>
    <row r="77" spans="2:27" ht="15.75" thickBot="1" x14ac:dyDescent="0.3">
      <c r="B77" s="7"/>
      <c r="C77" s="7"/>
      <c r="D77" s="7"/>
      <c r="E77" s="114"/>
      <c r="G77" s="7"/>
      <c r="H77" s="7"/>
      <c r="I77" s="1598" t="s">
        <v>827</v>
      </c>
      <c r="J77" s="1598"/>
      <c r="K77" s="1598"/>
      <c r="L77" s="1598"/>
      <c r="M77" s="629" t="s">
        <v>251</v>
      </c>
      <c r="N77" s="562">
        <v>0</v>
      </c>
      <c r="O77" s="562">
        <v>0</v>
      </c>
      <c r="P77" s="562">
        <v>0</v>
      </c>
      <c r="Q77" s="563">
        <v>1</v>
      </c>
      <c r="R77" s="7"/>
      <c r="S77" s="7"/>
      <c r="T77" s="7"/>
      <c r="U77" s="100"/>
      <c r="V77" s="255"/>
      <c r="W77" s="255"/>
      <c r="X77" s="255"/>
      <c r="Y77" s="255"/>
    </row>
    <row r="78" spans="2:27" ht="15.75" thickBot="1" x14ac:dyDescent="0.3">
      <c r="B78" s="7"/>
      <c r="C78" s="7"/>
      <c r="D78" s="7"/>
      <c r="E78" s="114"/>
      <c r="G78" s="7"/>
      <c r="H78" s="7"/>
      <c r="I78" s="1333" t="s">
        <v>248</v>
      </c>
      <c r="J78" s="1338" t="s">
        <v>249</v>
      </c>
      <c r="K78" s="1338" t="s">
        <v>250</v>
      </c>
      <c r="L78" s="360" t="s">
        <v>251</v>
      </c>
      <c r="M78" s="17"/>
      <c r="N78" s="17"/>
      <c r="O78" s="17"/>
      <c r="P78" s="7"/>
      <c r="Q78" s="7"/>
      <c r="R78" s="7"/>
      <c r="S78" s="7"/>
      <c r="T78" s="7"/>
      <c r="U78" s="100"/>
      <c r="V78" s="255"/>
      <c r="W78" s="255"/>
      <c r="X78" s="255"/>
      <c r="Y78" s="255"/>
    </row>
    <row r="79" spans="2:27" x14ac:dyDescent="0.25">
      <c r="B79" s="7"/>
      <c r="C79" s="7"/>
      <c r="D79" s="7"/>
      <c r="E79" s="114"/>
      <c r="G79" s="7"/>
      <c r="H79" s="21" t="s">
        <v>174</v>
      </c>
      <c r="I79" s="1334">
        <f>SUMPRODUCT($N74:$Q74,$I$71:$L$71)</f>
        <v>0</v>
      </c>
      <c r="J79" s="1339">
        <f>SUMPRODUCT($N75:$Q75,$I$71:$L$71)</f>
        <v>7.2310941532748796</v>
      </c>
      <c r="K79" s="1339">
        <f>SUMPRODUCT($N76:$Q76,$I$71:$L$71)</f>
        <v>6.6566751473755961</v>
      </c>
      <c r="L79" s="632">
        <f>SUMPRODUCT($N77:$Q77,$I$71:$L$71)</f>
        <v>4.3642870198513766</v>
      </c>
      <c r="M79" s="140" t="s">
        <v>837</v>
      </c>
      <c r="N79" s="17"/>
      <c r="O79" s="17"/>
      <c r="P79" s="7"/>
      <c r="Q79" s="7"/>
      <c r="R79" s="7"/>
      <c r="S79" s="7"/>
      <c r="T79" s="7"/>
      <c r="U79" s="100"/>
      <c r="V79" s="255"/>
      <c r="W79" s="255"/>
      <c r="X79" s="255"/>
      <c r="Y79" s="255"/>
    </row>
    <row r="80" spans="2:27" x14ac:dyDescent="0.25">
      <c r="B80" s="7"/>
      <c r="C80" s="7"/>
      <c r="D80" s="7"/>
      <c r="E80" s="114"/>
      <c r="G80" s="7"/>
      <c r="H80" s="21" t="s">
        <v>173</v>
      </c>
      <c r="I80" s="1335">
        <f>$V$33</f>
        <v>5.4383831358769292</v>
      </c>
      <c r="J80" s="1340">
        <f>$V$33</f>
        <v>5.4383831358769292</v>
      </c>
      <c r="K80" s="1340">
        <f>$V$33</f>
        <v>5.4383831358769292</v>
      </c>
      <c r="L80" s="634">
        <f>$V$33</f>
        <v>5.4383831358769292</v>
      </c>
      <c r="M80" s="140" t="s">
        <v>839</v>
      </c>
      <c r="N80" s="17"/>
      <c r="O80" s="17"/>
      <c r="P80" s="7"/>
      <c r="Q80" s="7"/>
      <c r="R80" s="7"/>
      <c r="S80" s="7"/>
      <c r="T80" s="7"/>
      <c r="U80" s="100"/>
      <c r="V80" s="255"/>
      <c r="W80" s="255"/>
      <c r="X80" s="255"/>
      <c r="Y80" s="255"/>
    </row>
    <row r="81" spans="2:25" x14ac:dyDescent="0.25">
      <c r="B81" s="7"/>
      <c r="C81" s="7"/>
      <c r="D81" s="7"/>
      <c r="E81" s="114"/>
      <c r="G81" s="7"/>
      <c r="H81" s="21" t="s">
        <v>227</v>
      </c>
      <c r="I81" s="1336">
        <f>(I79/I80)-1</f>
        <v>-1</v>
      </c>
      <c r="J81" s="1341">
        <f>(J79/J80)-1</f>
        <v>0.32964044139727178</v>
      </c>
      <c r="K81" s="1341">
        <f>(K79/K80)-1</f>
        <v>0.22401731931345803</v>
      </c>
      <c r="L81" s="636">
        <f>(L79/L80)-1</f>
        <v>-0.1975028403092377</v>
      </c>
      <c r="M81" s="17"/>
      <c r="N81" s="17"/>
      <c r="T81" s="7"/>
      <c r="U81" s="100"/>
      <c r="V81" s="255"/>
      <c r="W81" s="255"/>
      <c r="X81" s="255"/>
      <c r="Y81" s="255"/>
    </row>
    <row r="82" spans="2:25" x14ac:dyDescent="0.25">
      <c r="B82" s="7"/>
      <c r="C82" s="7"/>
      <c r="D82" s="7"/>
      <c r="E82" s="114"/>
      <c r="G82" s="7"/>
      <c r="H82" s="21" t="s">
        <v>253</v>
      </c>
      <c r="I82" s="1335">
        <f>SUMPRODUCT($I$71:$L$71,$M$32:$P$32)</f>
        <v>5.1889268740965369</v>
      </c>
      <c r="J82" s="1340">
        <f>SUMPRODUCT($I$71:$L$71,$M$32:$P$32)</f>
        <v>5.1889268740965369</v>
      </c>
      <c r="K82" s="1340">
        <f>SUMPRODUCT($I$71:$L$71,$M$32:$P$32)</f>
        <v>5.1889268740965369</v>
      </c>
      <c r="L82" s="634">
        <f>SUMPRODUCT($I$71:$L$71,$M$32:$P$32)</f>
        <v>5.1889268740965369</v>
      </c>
      <c r="M82" s="140" t="s">
        <v>838</v>
      </c>
      <c r="N82" s="17"/>
      <c r="O82" s="17"/>
      <c r="P82" s="7"/>
      <c r="Q82" s="7"/>
      <c r="R82" s="7"/>
      <c r="S82" s="7"/>
      <c r="T82" s="7"/>
      <c r="U82" s="100"/>
      <c r="V82" s="7"/>
      <c r="W82" s="7"/>
      <c r="X82" s="7"/>
      <c r="Y82" s="7"/>
    </row>
    <row r="83" spans="2:25" ht="15.75" thickBot="1" x14ac:dyDescent="0.3">
      <c r="B83" s="7"/>
      <c r="C83" s="7"/>
      <c r="D83" s="7"/>
      <c r="E83" s="114"/>
      <c r="G83" s="7"/>
      <c r="H83" s="142" t="s">
        <v>254</v>
      </c>
      <c r="I83" s="1337">
        <f>(I79/I82)-1</f>
        <v>-1</v>
      </c>
      <c r="J83" s="1342">
        <f>(J79/J82)-1</f>
        <v>0.39356254746486719</v>
      </c>
      <c r="K83" s="1342">
        <f>(K79/K82)-1</f>
        <v>0.28286162223756794</v>
      </c>
      <c r="L83" s="639">
        <f>(L79/L82)-1</f>
        <v>-0.15892300551811911</v>
      </c>
      <c r="M83" s="17"/>
      <c r="N83" s="17"/>
      <c r="O83" s="17"/>
      <c r="P83" s="7"/>
      <c r="Q83" s="7"/>
      <c r="R83" s="7"/>
      <c r="S83" s="7"/>
      <c r="T83" s="7"/>
      <c r="U83" s="100"/>
      <c r="V83" s="542"/>
      <c r="W83" s="54"/>
      <c r="X83" s="7"/>
      <c r="Y83" s="7"/>
    </row>
    <row r="84" spans="2:25" x14ac:dyDescent="0.25">
      <c r="B84" s="7"/>
      <c r="C84" s="7"/>
      <c r="D84" s="7"/>
      <c r="E84" s="114"/>
      <c r="G84" s="7"/>
      <c r="H84" s="142"/>
      <c r="I84" s="1349" t="s">
        <v>840</v>
      </c>
      <c r="J84" s="1346"/>
      <c r="K84" s="1346"/>
      <c r="L84" s="1346"/>
      <c r="M84" s="17"/>
      <c r="N84" s="17"/>
      <c r="O84" s="17"/>
      <c r="P84" s="7"/>
      <c r="Q84" s="7"/>
      <c r="R84" s="7"/>
      <c r="S84" s="7"/>
      <c r="T84" s="7"/>
      <c r="U84" s="100"/>
      <c r="V84" s="542"/>
      <c r="W84" s="54"/>
      <c r="X84" s="7"/>
      <c r="Y84" s="7"/>
    </row>
    <row r="85" spans="2:25" x14ac:dyDescent="0.25">
      <c r="B85" s="7"/>
      <c r="C85" s="7"/>
      <c r="D85" s="7"/>
      <c r="E85" s="114"/>
      <c r="F85" s="245"/>
      <c r="G85" s="245"/>
      <c r="H85" s="1350"/>
      <c r="I85" s="1351"/>
      <c r="J85" s="1352"/>
      <c r="K85" s="1352"/>
      <c r="L85" s="1352"/>
      <c r="M85" s="257"/>
      <c r="N85" s="257"/>
      <c r="O85" s="257"/>
      <c r="P85" s="245"/>
      <c r="Q85" s="245"/>
      <c r="R85" s="245"/>
      <c r="S85" s="245"/>
      <c r="T85" s="245"/>
      <c r="U85" s="100"/>
      <c r="V85" s="542"/>
      <c r="W85" s="54"/>
      <c r="X85" s="7"/>
      <c r="Y85" s="7"/>
    </row>
    <row r="86" spans="2:25" x14ac:dyDescent="0.25">
      <c r="B86" s="7"/>
      <c r="C86" s="7"/>
      <c r="D86" s="7"/>
      <c r="E86" s="114"/>
      <c r="F86" s="7"/>
      <c r="G86" s="7"/>
      <c r="H86" s="142"/>
      <c r="I86" s="1349"/>
      <c r="J86" s="1346"/>
      <c r="K86" s="1346"/>
      <c r="L86" s="1346"/>
      <c r="M86" s="17"/>
      <c r="N86" s="17"/>
      <c r="O86" s="17"/>
      <c r="P86" s="7"/>
      <c r="Q86" s="7"/>
      <c r="R86" s="7"/>
      <c r="S86" s="7"/>
      <c r="T86" s="7"/>
      <c r="U86" s="100"/>
      <c r="V86" s="542"/>
      <c r="W86" s="54"/>
      <c r="X86" s="7"/>
      <c r="Y86" s="7"/>
    </row>
    <row r="87" spans="2:25" x14ac:dyDescent="0.25">
      <c r="B87" s="7"/>
      <c r="C87" s="7"/>
      <c r="D87" s="7"/>
      <c r="E87" s="114"/>
      <c r="F87" s="7" t="s">
        <v>851</v>
      </c>
      <c r="G87" s="7"/>
      <c r="H87" s="142"/>
      <c r="I87" s="1349"/>
      <c r="J87" s="1346"/>
      <c r="K87" s="1346"/>
      <c r="L87" s="1346"/>
      <c r="M87" s="17"/>
      <c r="N87" s="17"/>
      <c r="O87" s="17"/>
      <c r="P87" s="7"/>
      <c r="Q87" s="7"/>
      <c r="R87" s="7"/>
      <c r="S87" s="7"/>
      <c r="T87" s="7"/>
      <c r="U87" s="100"/>
      <c r="V87" s="542"/>
      <c r="W87" s="54"/>
      <c r="X87" s="7"/>
      <c r="Y87" s="7"/>
    </row>
    <row r="88" spans="2:25" x14ac:dyDescent="0.25">
      <c r="B88" s="7"/>
      <c r="C88" s="7"/>
      <c r="D88" s="7"/>
      <c r="E88" s="114"/>
      <c r="F88" s="7"/>
      <c r="G88" s="7"/>
      <c r="H88" s="142"/>
      <c r="I88" s="1349"/>
      <c r="J88" s="1346"/>
      <c r="K88" s="1346"/>
      <c r="L88" s="1346"/>
      <c r="M88" s="17"/>
      <c r="N88" s="17"/>
      <c r="O88" s="17"/>
      <c r="P88" s="7"/>
      <c r="Q88" s="7"/>
      <c r="R88" s="7"/>
      <c r="S88" s="7"/>
      <c r="T88" s="7"/>
      <c r="U88" s="100"/>
      <c r="V88" s="542"/>
      <c r="W88" s="54"/>
      <c r="X88" s="7"/>
      <c r="Y88" s="7"/>
    </row>
    <row r="89" spans="2:25" ht="15.75" thickBot="1" x14ac:dyDescent="0.3">
      <c r="B89" s="7"/>
      <c r="C89" s="7"/>
      <c r="D89" s="7"/>
      <c r="E89" s="114"/>
      <c r="F89" s="7"/>
      <c r="G89" s="7"/>
      <c r="H89" s="142"/>
      <c r="I89" s="1598" t="s">
        <v>827</v>
      </c>
      <c r="J89" s="1598"/>
      <c r="K89" s="1598"/>
      <c r="L89" s="1598"/>
      <c r="M89" s="17"/>
      <c r="N89" s="17"/>
      <c r="O89" s="17"/>
      <c r="P89" s="7"/>
      <c r="Q89" s="7"/>
      <c r="R89" s="7"/>
      <c r="S89" s="7"/>
      <c r="T89" s="7"/>
      <c r="U89" s="100"/>
      <c r="V89" s="542"/>
      <c r="W89" s="54"/>
      <c r="X89" s="7"/>
      <c r="Y89" s="7"/>
    </row>
    <row r="90" spans="2:25" x14ac:dyDescent="0.25">
      <c r="B90" s="7"/>
      <c r="C90" s="7"/>
      <c r="D90" s="7"/>
      <c r="E90" s="114"/>
      <c r="F90" s="7"/>
      <c r="G90" s="7"/>
      <c r="H90" s="7"/>
      <c r="I90" s="1353" t="s">
        <v>248</v>
      </c>
      <c r="J90" s="1354" t="s">
        <v>249</v>
      </c>
      <c r="K90" s="1355" t="s">
        <v>250</v>
      </c>
      <c r="L90" s="1356" t="s">
        <v>251</v>
      </c>
      <c r="M90" s="17"/>
      <c r="N90" s="17"/>
      <c r="O90" s="17"/>
      <c r="P90" s="7"/>
      <c r="Q90" s="7"/>
      <c r="R90" s="7"/>
      <c r="S90" s="7"/>
      <c r="T90" s="7"/>
      <c r="U90" s="100"/>
      <c r="V90" s="542"/>
      <c r="W90" s="54"/>
      <c r="X90" s="7"/>
      <c r="Y90" s="7"/>
    </row>
    <row r="91" spans="2:25" ht="15.75" thickBot="1" x14ac:dyDescent="0.3">
      <c r="B91" s="7"/>
      <c r="C91" s="7"/>
      <c r="D91" s="7"/>
      <c r="E91" s="114"/>
      <c r="F91" s="7"/>
      <c r="G91" s="7"/>
      <c r="H91" s="142" t="s">
        <v>254</v>
      </c>
      <c r="I91" s="1337">
        <f>I83</f>
        <v>-1</v>
      </c>
      <c r="J91" s="1342">
        <f>J83</f>
        <v>0.39356254746486719</v>
      </c>
      <c r="K91" s="1357">
        <f>K83</f>
        <v>0.28286162223756794</v>
      </c>
      <c r="L91" s="1358">
        <f>L83</f>
        <v>-0.15892300551811911</v>
      </c>
      <c r="M91" s="17"/>
      <c r="N91" s="17"/>
      <c r="O91" s="17"/>
      <c r="P91" s="7"/>
      <c r="Q91" s="7"/>
      <c r="R91" s="7"/>
      <c r="S91" s="7"/>
      <c r="T91" s="7"/>
      <c r="U91" s="100"/>
      <c r="V91" s="542"/>
      <c r="W91" s="54"/>
      <c r="X91" s="7"/>
      <c r="Y91" s="7"/>
    </row>
    <row r="92" spans="2:25" x14ac:dyDescent="0.25">
      <c r="B92" s="7"/>
      <c r="C92" s="7"/>
      <c r="D92" s="7"/>
      <c r="E92" s="114"/>
      <c r="F92" s="7"/>
      <c r="G92" s="7"/>
      <c r="H92" s="21"/>
      <c r="I92" s="253"/>
      <c r="J92" s="253"/>
      <c r="K92" s="253"/>
      <c r="L92" s="253"/>
      <c r="M92" s="17"/>
      <c r="N92" s="17"/>
      <c r="O92" s="17"/>
      <c r="P92" s="7"/>
      <c r="Q92" s="7"/>
      <c r="R92" s="7"/>
      <c r="S92" s="7"/>
      <c r="T92" s="7"/>
      <c r="U92" s="100"/>
      <c r="V92" s="542"/>
      <c r="W92" s="54"/>
      <c r="X92" s="7"/>
      <c r="Y92" s="7"/>
    </row>
    <row r="93" spans="2:25" x14ac:dyDescent="0.25">
      <c r="B93" s="7"/>
      <c r="C93" s="7"/>
      <c r="D93" s="7"/>
      <c r="E93" s="114"/>
      <c r="F93" s="7"/>
      <c r="G93" s="7"/>
      <c r="H93" s="189" t="s">
        <v>842</v>
      </c>
      <c r="I93" s="19"/>
      <c r="J93" s="19"/>
      <c r="K93" s="19"/>
      <c r="L93" s="19"/>
      <c r="M93" s="17"/>
      <c r="N93" s="17"/>
      <c r="O93" s="17"/>
      <c r="P93" s="7"/>
      <c r="Q93" s="7"/>
      <c r="R93" s="7"/>
      <c r="S93" s="7"/>
      <c r="T93" s="7"/>
      <c r="U93" s="100"/>
      <c r="V93" s="542"/>
      <c r="W93" s="54"/>
      <c r="X93" s="7"/>
      <c r="Y93" s="7"/>
    </row>
    <row r="94" spans="2:25" x14ac:dyDescent="0.25">
      <c r="B94" s="7"/>
      <c r="C94" s="7"/>
      <c r="D94" s="7"/>
      <c r="E94" s="114"/>
      <c r="F94" s="7"/>
      <c r="G94" s="7"/>
      <c r="H94" s="21"/>
      <c r="I94" s="253"/>
      <c r="J94" s="253"/>
      <c r="K94" s="253"/>
      <c r="L94" s="253"/>
      <c r="M94" s="17"/>
      <c r="N94" s="17"/>
      <c r="O94" s="17"/>
      <c r="P94" s="7"/>
      <c r="Q94" s="7"/>
      <c r="R94" s="7"/>
      <c r="S94" s="7"/>
      <c r="T94" s="7"/>
      <c r="U94" s="100"/>
      <c r="V94" s="542"/>
      <c r="W94" s="54"/>
      <c r="X94" s="7"/>
      <c r="Y94" s="7"/>
    </row>
    <row r="95" spans="2:25" x14ac:dyDescent="0.25">
      <c r="B95" s="7"/>
      <c r="C95" s="7"/>
      <c r="D95" s="7"/>
      <c r="E95" s="114"/>
      <c r="F95" t="s">
        <v>845</v>
      </c>
      <c r="G95" s="7"/>
      <c r="H95" s="142"/>
      <c r="I95" s="1349"/>
      <c r="J95" s="1346"/>
      <c r="K95" s="1346"/>
      <c r="L95" s="1346"/>
      <c r="M95" s="17"/>
      <c r="N95" s="17"/>
      <c r="O95" s="17"/>
      <c r="P95" s="7"/>
      <c r="Q95" s="7"/>
      <c r="R95" s="7"/>
      <c r="S95" s="7"/>
      <c r="T95" s="7"/>
      <c r="U95" s="100"/>
      <c r="V95" s="542"/>
      <c r="W95" s="54"/>
      <c r="X95" s="7"/>
      <c r="Y95" s="7"/>
    </row>
    <row r="96" spans="2:25" x14ac:dyDescent="0.25">
      <c r="B96" s="7"/>
      <c r="C96" s="7"/>
      <c r="D96" s="7"/>
      <c r="E96" s="114"/>
      <c r="G96" s="7"/>
      <c r="H96" s="142"/>
      <c r="I96" s="1349"/>
      <c r="J96" s="1346"/>
      <c r="K96" s="1346"/>
      <c r="L96" s="1346"/>
      <c r="M96" s="17"/>
      <c r="N96" s="17"/>
      <c r="O96" s="17"/>
      <c r="P96" s="7"/>
      <c r="Q96" s="7"/>
      <c r="R96" s="7"/>
      <c r="S96" s="7"/>
      <c r="T96" s="7"/>
      <c r="U96" s="100"/>
      <c r="V96" s="542"/>
      <c r="W96" s="54"/>
      <c r="X96" s="7"/>
      <c r="Y96" s="7"/>
    </row>
    <row r="97" spans="2:25" x14ac:dyDescent="0.25">
      <c r="B97" s="7"/>
      <c r="C97" s="7"/>
      <c r="D97" s="7"/>
      <c r="E97" s="114"/>
      <c r="F97" t="s">
        <v>841</v>
      </c>
      <c r="G97" s="7"/>
      <c r="H97" s="142"/>
      <c r="I97" s="1349"/>
      <c r="J97" s="1346"/>
      <c r="K97" s="1346"/>
      <c r="L97" s="1346"/>
      <c r="M97" s="17"/>
      <c r="N97" s="17"/>
      <c r="O97" s="17"/>
      <c r="P97" s="7"/>
      <c r="Q97" s="7"/>
      <c r="R97" s="7"/>
      <c r="S97" s="7"/>
      <c r="T97" s="7"/>
      <c r="U97" s="100"/>
      <c r="V97" s="542"/>
      <c r="W97" s="54"/>
      <c r="X97" s="7"/>
      <c r="Y97" s="7"/>
    </row>
    <row r="98" spans="2:25" ht="15" customHeight="1" x14ac:dyDescent="0.25">
      <c r="B98" s="7"/>
      <c r="C98" s="7"/>
      <c r="D98" s="7"/>
      <c r="E98" s="114"/>
      <c r="G98" s="7"/>
      <c r="H98" s="7"/>
      <c r="I98" s="7"/>
      <c r="J98" s="17"/>
      <c r="K98" s="17"/>
      <c r="L98" s="17"/>
      <c r="M98" s="17"/>
      <c r="N98" s="17"/>
      <c r="O98" s="17"/>
      <c r="P98" s="7"/>
      <c r="Q98" s="7"/>
      <c r="R98" s="7"/>
      <c r="S98" s="7"/>
      <c r="T98" s="7"/>
      <c r="U98" s="100"/>
      <c r="V98" s="7"/>
      <c r="W98" s="7"/>
      <c r="X98" s="7"/>
      <c r="Y98" s="7"/>
    </row>
    <row r="99" spans="2:25" x14ac:dyDescent="0.25">
      <c r="B99" s="7"/>
      <c r="C99" s="7"/>
      <c r="D99" s="7"/>
      <c r="E99" s="114"/>
      <c r="G99" s="7"/>
      <c r="H99" s="759" t="s">
        <v>843</v>
      </c>
      <c r="I99" s="760">
        <f>M$32</f>
        <v>0.10000150634671325</v>
      </c>
      <c r="J99" s="760">
        <f>N$32</f>
        <v>0.19999972881778538</v>
      </c>
      <c r="K99" s="760">
        <f>O$32</f>
        <v>0.29999914623744173</v>
      </c>
      <c r="L99" s="760">
        <f>P$32</f>
        <v>0.39999961859805949</v>
      </c>
      <c r="M99" s="647" t="s">
        <v>819</v>
      </c>
      <c r="O99" s="143"/>
      <c r="P99" s="8"/>
      <c r="Q99" s="8"/>
      <c r="R99" s="8"/>
      <c r="S99" s="8"/>
      <c r="T99" s="8"/>
      <c r="U99" s="607"/>
      <c r="V99" s="8"/>
      <c r="W99" s="8"/>
      <c r="X99" s="8"/>
      <c r="Y99" s="8"/>
    </row>
    <row r="100" spans="2:25" x14ac:dyDescent="0.25">
      <c r="B100" s="7"/>
      <c r="C100" s="7"/>
      <c r="D100" s="7"/>
      <c r="E100" s="114"/>
      <c r="G100" s="7"/>
      <c r="H100" s="761" t="s">
        <v>844</v>
      </c>
      <c r="I100" s="762">
        <f>M$33</f>
        <v>5.0672702701916809E-2</v>
      </c>
      <c r="J100" s="762">
        <f>N$33</f>
        <v>0.25023610390709966</v>
      </c>
      <c r="K100" s="762">
        <f>O$33</f>
        <v>0.34934715113776654</v>
      </c>
      <c r="L100" s="762">
        <f>P$33</f>
        <v>0.34974404225321715</v>
      </c>
      <c r="M100" s="647" t="s">
        <v>820</v>
      </c>
      <c r="O100" s="143"/>
      <c r="P100" s="8"/>
      <c r="Q100" s="8"/>
      <c r="R100" s="8"/>
      <c r="S100" s="8"/>
      <c r="T100" s="8"/>
      <c r="U100" s="644"/>
      <c r="V100" s="8"/>
      <c r="W100" s="8"/>
      <c r="X100" s="8"/>
      <c r="Y100" s="8"/>
    </row>
    <row r="101" spans="2:25" x14ac:dyDescent="0.25">
      <c r="B101" s="7"/>
      <c r="C101" s="7"/>
      <c r="D101" s="7"/>
      <c r="E101" s="114"/>
      <c r="G101" s="7"/>
      <c r="I101" s="84"/>
      <c r="J101" s="143"/>
      <c r="K101" s="143"/>
      <c r="L101" s="143"/>
      <c r="M101" s="144"/>
      <c r="O101" s="144"/>
      <c r="P101" s="145"/>
      <c r="Q101" s="8"/>
      <c r="R101" s="8"/>
      <c r="S101" s="8"/>
      <c r="T101" s="8"/>
      <c r="U101" s="607"/>
      <c r="V101" s="8"/>
      <c r="W101" s="8"/>
      <c r="X101" s="8"/>
      <c r="Y101" s="8"/>
    </row>
    <row r="102" spans="2:25" x14ac:dyDescent="0.25">
      <c r="B102" s="7"/>
      <c r="C102" s="7"/>
      <c r="D102" s="7"/>
      <c r="E102" s="114"/>
      <c r="H102" s="21"/>
      <c r="I102" s="1604" t="s">
        <v>835</v>
      </c>
      <c r="J102" s="1605"/>
      <c r="K102" s="1606" t="s">
        <v>836</v>
      </c>
      <c r="L102" s="1606"/>
      <c r="O102" s="144"/>
      <c r="P102" s="145"/>
      <c r="Q102" s="8"/>
      <c r="R102" s="8"/>
      <c r="S102" s="8"/>
      <c r="T102" s="8"/>
      <c r="U102" s="607"/>
      <c r="V102" s="8"/>
      <c r="W102" s="8"/>
      <c r="X102" s="8"/>
      <c r="Y102" s="8"/>
    </row>
    <row r="103" spans="2:25" x14ac:dyDescent="0.25">
      <c r="B103" s="7"/>
      <c r="C103" s="7"/>
      <c r="D103" s="7"/>
      <c r="E103" s="114"/>
      <c r="H103" s="21"/>
      <c r="I103" s="1600" t="s">
        <v>1181</v>
      </c>
      <c r="J103" s="1601"/>
      <c r="K103" s="1602" t="s">
        <v>798</v>
      </c>
      <c r="L103" s="1603"/>
      <c r="M103" s="17"/>
      <c r="O103" s="144"/>
      <c r="P103" s="145"/>
      <c r="Q103" s="8"/>
      <c r="R103" s="8"/>
      <c r="S103" s="8"/>
      <c r="T103" s="8"/>
      <c r="U103" s="607"/>
      <c r="V103" s="8"/>
      <c r="W103" s="8"/>
      <c r="X103" s="8"/>
      <c r="Y103" s="8"/>
    </row>
    <row r="104" spans="2:25" ht="15.75" thickBot="1" x14ac:dyDescent="0.3">
      <c r="B104" s="7"/>
      <c r="C104" s="7"/>
      <c r="D104" s="7"/>
      <c r="E104" s="114"/>
      <c r="G104" s="7"/>
      <c r="I104" s="763" t="s">
        <v>1177</v>
      </c>
      <c r="J104" s="764" t="s">
        <v>1178</v>
      </c>
      <c r="K104" s="1365" t="s">
        <v>1177</v>
      </c>
      <c r="L104" s="1366" t="s">
        <v>1178</v>
      </c>
      <c r="M104" s="7"/>
      <c r="O104" s="144"/>
      <c r="P104" s="145"/>
      <c r="Q104" s="8"/>
      <c r="R104" s="8"/>
      <c r="S104" s="7"/>
      <c r="T104" s="8"/>
      <c r="U104" s="607"/>
      <c r="V104" s="8"/>
      <c r="W104" s="8"/>
      <c r="X104" s="8"/>
      <c r="Y104" s="8"/>
    </row>
    <row r="105" spans="2:25" x14ac:dyDescent="0.25">
      <c r="B105" s="7"/>
      <c r="C105" s="7"/>
      <c r="D105" s="7"/>
      <c r="E105" s="114"/>
      <c r="G105" s="7"/>
      <c r="H105" s="759" t="s">
        <v>843</v>
      </c>
      <c r="I105" s="765">
        <f>I99/SUM(I99:J99)</f>
        <v>0.33333698206902307</v>
      </c>
      <c r="J105" s="1347">
        <f>J99/SUM(I99:J99)</f>
        <v>0.66666301793097693</v>
      </c>
      <c r="K105" s="1367">
        <f>K99/SUM(K99:L99)</f>
        <v>0.42857096513297577</v>
      </c>
      <c r="L105" s="1368">
        <f>L99/SUM(K99:L99)</f>
        <v>0.57142903486702412</v>
      </c>
      <c r="M105" s="647" t="s">
        <v>819</v>
      </c>
      <c r="O105" s="144"/>
      <c r="P105" s="145"/>
      <c r="Q105" s="8"/>
      <c r="R105" s="8"/>
      <c r="S105" s="7"/>
      <c r="T105" s="8"/>
      <c r="U105" s="607"/>
      <c r="V105" s="8"/>
      <c r="W105" s="8"/>
      <c r="X105" s="8"/>
      <c r="Y105" s="8"/>
    </row>
    <row r="106" spans="2:25" ht="15.75" thickBot="1" x14ac:dyDescent="0.3">
      <c r="B106" s="7"/>
      <c r="C106" s="7"/>
      <c r="D106" s="7"/>
      <c r="E106" s="114"/>
      <c r="G106" s="7"/>
      <c r="H106" s="761" t="s">
        <v>844</v>
      </c>
      <c r="I106" s="767">
        <f>I100/SUM(I100:J100)</f>
        <v>0.16839886898942771</v>
      </c>
      <c r="J106" s="1348">
        <f>J100/SUM(I100:J100)</f>
        <v>0.8316011310105722</v>
      </c>
      <c r="K106" s="1369">
        <f>K100/SUM(K100:L100)</f>
        <v>0.49971613780919949</v>
      </c>
      <c r="L106" s="1370">
        <f>L100/SUM(K100:L100)</f>
        <v>0.50028386219080045</v>
      </c>
      <c r="M106" s="647" t="s">
        <v>820</v>
      </c>
      <c r="O106" s="144"/>
      <c r="P106" s="145"/>
      <c r="Q106" s="8"/>
      <c r="R106" s="8"/>
      <c r="S106" s="8"/>
      <c r="T106" s="8"/>
      <c r="U106" s="607"/>
      <c r="V106" s="8"/>
      <c r="W106" s="8"/>
      <c r="X106" s="8"/>
      <c r="Y106" s="8"/>
    </row>
    <row r="107" spans="2:25" x14ac:dyDescent="0.25">
      <c r="B107" s="7"/>
      <c r="C107" s="7"/>
      <c r="D107" s="7"/>
      <c r="E107" s="114"/>
      <c r="I107" s="17"/>
      <c r="J107" s="239"/>
      <c r="K107" s="1371"/>
      <c r="L107" s="1371"/>
      <c r="O107" s="144"/>
      <c r="P107" s="145"/>
      <c r="Q107" s="8"/>
      <c r="R107" s="8"/>
      <c r="S107" s="8"/>
      <c r="T107" s="8"/>
      <c r="U107" s="607"/>
      <c r="V107" s="8"/>
      <c r="W107" s="8"/>
      <c r="X107" s="8"/>
      <c r="Y107" s="8"/>
    </row>
    <row r="108" spans="2:25" x14ac:dyDescent="0.25">
      <c r="B108" s="7"/>
      <c r="C108" s="7"/>
      <c r="D108" s="7"/>
      <c r="E108" s="114"/>
      <c r="G108" s="7"/>
      <c r="I108" s="1598" t="s">
        <v>256</v>
      </c>
      <c r="J108" s="1607"/>
      <c r="K108" s="1608" t="s">
        <v>256</v>
      </c>
      <c r="L108" s="1608"/>
      <c r="O108" s="144"/>
      <c r="P108" s="145"/>
      <c r="Q108" s="8"/>
      <c r="R108" s="8"/>
      <c r="S108" s="8"/>
      <c r="T108" s="8"/>
      <c r="U108" s="607"/>
      <c r="V108" s="8"/>
      <c r="W108" s="8"/>
      <c r="X108" s="8"/>
      <c r="Y108" s="8"/>
    </row>
    <row r="109" spans="2:25" x14ac:dyDescent="0.25">
      <c r="B109" s="7"/>
      <c r="C109" s="7"/>
      <c r="D109" s="7"/>
      <c r="E109" s="114"/>
      <c r="G109" s="7"/>
      <c r="H109" s="759" t="s">
        <v>313</v>
      </c>
      <c r="I109" s="769">
        <f>SUMPRODUCT($I$83:$J$83,I105:J105)</f>
        <v>-7.096338643149136E-2</v>
      </c>
      <c r="J109" s="594"/>
      <c r="K109" s="1372"/>
      <c r="L109" s="1373">
        <f>SUMPRODUCT($K$83:$L$83,K105:L105)</f>
        <v>3.041305878004813E-2</v>
      </c>
      <c r="M109" s="766"/>
      <c r="N109" s="647"/>
      <c r="O109" s="144"/>
      <c r="P109" s="145"/>
      <c r="Q109" s="8"/>
      <c r="R109" s="8"/>
      <c r="S109" s="8"/>
      <c r="T109" s="8"/>
      <c r="U109" s="607"/>
      <c r="V109" s="8"/>
      <c r="W109" s="8"/>
      <c r="X109" s="8"/>
      <c r="Y109" s="8"/>
    </row>
    <row r="110" spans="2:25" x14ac:dyDescent="0.25">
      <c r="B110" s="7"/>
      <c r="C110" s="7"/>
      <c r="D110" s="7"/>
      <c r="E110" s="114"/>
      <c r="G110" s="7"/>
      <c r="H110" s="761" t="s">
        <v>314</v>
      </c>
      <c r="I110" s="770">
        <f>SUMPRODUCT($I$83:$J$83,I106:J106)</f>
        <v>0.15888819060575785</v>
      </c>
      <c r="J110" s="594" t="s">
        <v>315</v>
      </c>
      <c r="K110" s="1372"/>
      <c r="L110" s="1374">
        <f>SUMPRODUCT($K$83:$L$83,K106:L106)</f>
        <v>6.1843902407427709E-2</v>
      </c>
      <c r="M110" s="768"/>
      <c r="O110" s="144"/>
      <c r="P110" s="145"/>
      <c r="Q110" s="8"/>
      <c r="R110" s="8"/>
      <c r="S110" s="8"/>
      <c r="T110" s="8"/>
      <c r="U110" s="607"/>
      <c r="V110" s="8"/>
      <c r="W110" s="8"/>
      <c r="X110" s="8"/>
      <c r="Y110" s="8"/>
    </row>
    <row r="111" spans="2:25" x14ac:dyDescent="0.25">
      <c r="B111" s="17"/>
      <c r="C111" s="17"/>
      <c r="D111" s="17"/>
      <c r="E111" s="648"/>
      <c r="F111" s="7"/>
      <c r="G111" s="7"/>
      <c r="M111" s="147"/>
      <c r="N111" s="147"/>
      <c r="O111" s="145"/>
      <c r="P111" s="8"/>
      <c r="Q111" s="8"/>
      <c r="R111" s="8"/>
      <c r="S111" s="8"/>
      <c r="T111" s="8"/>
      <c r="U111" s="607"/>
      <c r="V111" s="8"/>
      <c r="W111" s="8"/>
      <c r="X111" s="8"/>
      <c r="Y111" s="8"/>
    </row>
    <row r="112" spans="2:25" ht="15.75" thickBot="1" x14ac:dyDescent="0.3">
      <c r="B112" s="7"/>
      <c r="C112" s="7"/>
      <c r="D112" s="7"/>
      <c r="E112" s="114"/>
      <c r="F112" s="7"/>
      <c r="G112" s="7"/>
      <c r="I112" s="1599" t="s">
        <v>258</v>
      </c>
      <c r="J112" s="1599"/>
      <c r="K112" s="1599"/>
      <c r="L112" s="1599"/>
      <c r="M112" s="147"/>
      <c r="N112" s="147"/>
      <c r="O112" s="145"/>
      <c r="P112" s="8"/>
      <c r="Q112" s="8"/>
      <c r="R112" s="8"/>
      <c r="S112" s="8"/>
      <c r="T112" s="8"/>
      <c r="U112" s="607"/>
      <c r="V112" s="8"/>
      <c r="W112" s="8"/>
      <c r="X112" s="8"/>
      <c r="Y112" s="8"/>
    </row>
    <row r="113" spans="2:25" ht="15.75" customHeight="1" x14ac:dyDescent="0.35">
      <c r="B113" s="7"/>
      <c r="C113" s="7"/>
      <c r="D113" s="7"/>
      <c r="E113" s="114"/>
      <c r="F113" s="564"/>
      <c r="G113" s="7"/>
      <c r="J113" s="771" t="s">
        <v>26</v>
      </c>
      <c r="K113" s="772">
        <f>SUMPRODUCT(I99:L99,I83:L83)</f>
        <v>1.8041124150158794E-16</v>
      </c>
      <c r="L113" s="189" t="s">
        <v>316</v>
      </c>
      <c r="M113" s="17"/>
      <c r="N113" s="17"/>
      <c r="O113" s="7"/>
      <c r="P113" s="7"/>
      <c r="Q113" s="7"/>
      <c r="R113" s="7"/>
      <c r="S113" s="7"/>
      <c r="T113" s="7"/>
      <c r="U113" s="100"/>
      <c r="V113" s="8"/>
      <c r="W113" s="8"/>
      <c r="X113" s="8"/>
      <c r="Y113" s="8"/>
    </row>
    <row r="114" spans="2:25" ht="15.75" thickBot="1" x14ac:dyDescent="0.3">
      <c r="B114" s="7"/>
      <c r="C114" s="7"/>
      <c r="D114" s="7"/>
      <c r="E114" s="114"/>
      <c r="F114" s="7"/>
      <c r="G114" s="7"/>
      <c r="H114" s="7"/>
      <c r="J114" s="773" t="s">
        <v>27</v>
      </c>
      <c r="K114" s="774">
        <f>SUMPRODUCT(I83:L83,I106:L106)</f>
        <v>0.22073209301318553</v>
      </c>
      <c r="L114" s="775" t="s">
        <v>818</v>
      </c>
      <c r="M114" s="17"/>
      <c r="N114" s="17"/>
      <c r="O114" s="7"/>
      <c r="P114" s="7"/>
      <c r="Q114" s="7"/>
      <c r="R114" s="7"/>
      <c r="S114" s="7"/>
      <c r="T114" s="7"/>
      <c r="U114" s="100"/>
      <c r="V114" s="609"/>
      <c r="W114" s="609"/>
      <c r="X114" s="609"/>
      <c r="Y114" s="8"/>
    </row>
    <row r="115" spans="2:25" x14ac:dyDescent="0.25">
      <c r="B115" s="7"/>
      <c r="C115" s="7"/>
      <c r="D115" s="7"/>
      <c r="E115" s="114"/>
      <c r="F115" s="7"/>
      <c r="G115" s="7"/>
      <c r="H115" s="7"/>
      <c r="I115" s="140"/>
      <c r="J115" s="776"/>
      <c r="K115" s="777"/>
      <c r="L115" s="775"/>
      <c r="M115" s="17"/>
      <c r="N115" s="17"/>
      <c r="O115" s="7"/>
      <c r="P115" s="7"/>
      <c r="Q115" s="7"/>
      <c r="R115" s="7"/>
      <c r="S115" s="7"/>
      <c r="T115" s="7"/>
      <c r="U115" s="100"/>
      <c r="V115" s="609"/>
      <c r="W115" s="609"/>
      <c r="X115" s="609"/>
      <c r="Y115" s="8"/>
    </row>
    <row r="116" spans="2:25" x14ac:dyDescent="0.25">
      <c r="B116" s="7"/>
      <c r="C116" s="7"/>
      <c r="D116" s="7"/>
      <c r="E116" s="114"/>
      <c r="F116" s="7"/>
      <c r="G116" s="7"/>
      <c r="H116" s="7"/>
      <c r="I116" s="140" t="s">
        <v>1180</v>
      </c>
      <c r="J116" s="776"/>
      <c r="K116" s="777"/>
      <c r="L116" s="775"/>
      <c r="M116" s="17"/>
      <c r="N116" s="17"/>
      <c r="O116" s="7"/>
      <c r="P116" s="7"/>
      <c r="Q116" s="7"/>
      <c r="R116" s="7"/>
      <c r="S116" s="7"/>
      <c r="T116" s="7"/>
      <c r="U116" s="100"/>
      <c r="V116" s="609"/>
      <c r="W116" s="609"/>
      <c r="X116" s="609"/>
      <c r="Y116" s="8"/>
    </row>
    <row r="117" spans="2:25" ht="15.75" thickBot="1" x14ac:dyDescent="0.3">
      <c r="B117" s="7"/>
      <c r="C117" s="7"/>
      <c r="D117" s="7"/>
      <c r="E117" s="119"/>
      <c r="F117" s="166"/>
      <c r="G117" s="166"/>
      <c r="H117" s="166"/>
      <c r="I117" s="252" t="s">
        <v>1179</v>
      </c>
      <c r="J117" s="252"/>
      <c r="K117" s="252"/>
      <c r="L117" s="252"/>
      <c r="M117" s="252"/>
      <c r="N117" s="252"/>
      <c r="O117" s="166"/>
      <c r="P117" s="166"/>
      <c r="Q117" s="166"/>
      <c r="R117" s="166"/>
      <c r="S117" s="166"/>
      <c r="T117" s="166"/>
      <c r="U117" s="102"/>
      <c r="V117" s="609"/>
      <c r="W117" s="609"/>
      <c r="X117" s="609"/>
      <c r="Y117" s="8"/>
    </row>
    <row r="118" spans="2:25" x14ac:dyDescent="0.25">
      <c r="B118" s="7"/>
      <c r="C118" s="7"/>
      <c r="D118" s="7"/>
      <c r="E118" s="7"/>
      <c r="F118" s="7"/>
      <c r="V118" s="609"/>
      <c r="W118" s="609"/>
      <c r="X118" s="609"/>
      <c r="Y118" s="8"/>
    </row>
    <row r="119" spans="2:25" ht="15.75" thickBot="1" x14ac:dyDescent="0.3">
      <c r="J119" s="561"/>
      <c r="K119" s="561"/>
      <c r="L119" s="561"/>
      <c r="M119" s="561"/>
      <c r="N119" s="561"/>
      <c r="O119" s="561"/>
      <c r="P119" s="561"/>
      <c r="Q119" s="561"/>
      <c r="R119" s="622"/>
      <c r="S119" s="8"/>
      <c r="T119" s="8"/>
      <c r="U119" s="8"/>
      <c r="V119" s="8"/>
      <c r="W119" s="8"/>
      <c r="X119" s="8"/>
      <c r="Y119" s="8"/>
    </row>
    <row r="120" spans="2:25" ht="21" x14ac:dyDescent="0.35">
      <c r="E120" s="9"/>
      <c r="F120" s="601" t="s">
        <v>858</v>
      </c>
      <c r="G120" s="10"/>
      <c r="H120" s="10"/>
      <c r="I120" s="251"/>
      <c r="J120" s="251"/>
      <c r="K120" s="251"/>
      <c r="L120" s="251"/>
      <c r="M120" s="251"/>
      <c r="N120" s="251"/>
      <c r="O120" s="10"/>
      <c r="P120" s="10"/>
      <c r="Q120" s="10"/>
      <c r="R120" s="605"/>
      <c r="S120" s="605"/>
      <c r="T120" s="605"/>
      <c r="U120" s="606"/>
      <c r="V120" s="8"/>
      <c r="W120" s="8"/>
      <c r="X120" s="8"/>
      <c r="Y120" s="8"/>
    </row>
    <row r="121" spans="2:25" x14ac:dyDescent="0.25">
      <c r="E121" s="114"/>
      <c r="F121" s="7" t="s">
        <v>848</v>
      </c>
      <c r="G121" s="7"/>
      <c r="H121" s="7"/>
      <c r="I121" s="17"/>
      <c r="J121" s="17"/>
      <c r="K121" s="17"/>
      <c r="L121" s="17"/>
      <c r="M121" s="17"/>
      <c r="N121" s="17"/>
      <c r="O121" s="7"/>
      <c r="P121" s="7"/>
      <c r="Q121" s="7"/>
      <c r="R121" s="8"/>
      <c r="S121" s="8"/>
      <c r="T121" s="8"/>
      <c r="U121" s="607"/>
      <c r="V121" s="8"/>
      <c r="W121" s="8"/>
      <c r="X121" s="8"/>
      <c r="Y121" s="8"/>
    </row>
    <row r="122" spans="2:25" x14ac:dyDescent="0.25">
      <c r="E122" s="114"/>
      <c r="F122" s="7"/>
      <c r="G122" s="7"/>
      <c r="H122" s="7"/>
      <c r="I122" s="17"/>
      <c r="J122" s="17"/>
      <c r="K122" s="17"/>
      <c r="L122" s="17"/>
      <c r="M122" s="17"/>
      <c r="N122" s="17"/>
      <c r="O122" s="17"/>
      <c r="P122" s="17"/>
      <c r="Q122" s="17"/>
      <c r="R122" s="140"/>
      <c r="S122" s="140"/>
      <c r="T122" s="140"/>
      <c r="U122" s="650"/>
      <c r="V122" s="140"/>
      <c r="W122" s="140"/>
      <c r="X122" s="8"/>
      <c r="Y122" s="8"/>
    </row>
    <row r="123" spans="2:25" x14ac:dyDescent="0.25">
      <c r="E123" s="114"/>
      <c r="F123" s="7"/>
      <c r="G123" s="7"/>
      <c r="H123" s="600" t="s">
        <v>1171</v>
      </c>
      <c r="I123" s="140"/>
      <c r="J123" s="140"/>
      <c r="K123" s="140"/>
      <c r="L123" s="140"/>
      <c r="M123" s="147"/>
      <c r="N123" s="147"/>
      <c r="O123" s="145"/>
      <c r="P123" s="8"/>
      <c r="Q123" s="8"/>
      <c r="R123" s="140"/>
      <c r="S123" s="140"/>
      <c r="T123" s="140"/>
      <c r="U123" s="650"/>
      <c r="V123" s="140"/>
      <c r="W123" s="140"/>
      <c r="X123" s="8"/>
      <c r="Y123" s="8"/>
    </row>
    <row r="124" spans="2:25" x14ac:dyDescent="0.25">
      <c r="E124" s="114"/>
      <c r="F124" s="7"/>
      <c r="G124" s="7"/>
      <c r="H124" s="7" t="s">
        <v>1172</v>
      </c>
      <c r="I124" s="140"/>
      <c r="J124" s="140"/>
      <c r="K124" s="140"/>
      <c r="L124" s="140"/>
      <c r="M124" s="147"/>
      <c r="N124" s="147"/>
      <c r="O124" s="145"/>
      <c r="P124" s="8"/>
      <c r="Q124" s="8"/>
      <c r="R124" s="140"/>
      <c r="S124" s="140"/>
      <c r="T124" s="140"/>
      <c r="U124" s="650"/>
      <c r="V124" s="140"/>
      <c r="W124" s="140"/>
      <c r="X124" s="8"/>
      <c r="Y124" s="8"/>
    </row>
    <row r="125" spans="2:25" x14ac:dyDescent="0.25">
      <c r="E125" s="114"/>
      <c r="F125" s="7"/>
      <c r="G125" s="7"/>
      <c r="H125" s="7"/>
      <c r="I125" s="17"/>
      <c r="J125" s="17"/>
      <c r="K125" s="17"/>
      <c r="L125" s="17"/>
      <c r="M125" s="544"/>
      <c r="N125" s="544"/>
      <c r="O125" s="608"/>
      <c r="P125" s="7"/>
      <c r="Q125" s="7"/>
      <c r="R125" s="8"/>
      <c r="S125" s="8"/>
      <c r="T125" s="8"/>
      <c r="U125" s="607"/>
      <c r="V125" s="8"/>
      <c r="W125" s="8"/>
      <c r="X125" s="8"/>
      <c r="Y125" s="8"/>
    </row>
    <row r="126" spans="2:25" ht="15.75" thickBot="1" x14ac:dyDescent="0.3">
      <c r="E126" s="114"/>
      <c r="F126" s="7"/>
      <c r="G126" s="7"/>
      <c r="H126" s="651">
        <v>7</v>
      </c>
      <c r="I126" s="17"/>
      <c r="J126" s="254" t="s">
        <v>246</v>
      </c>
      <c r="K126" s="254" t="s">
        <v>245</v>
      </c>
      <c r="L126" s="608"/>
      <c r="M126" s="7"/>
      <c r="N126" s="7" t="s">
        <v>54</v>
      </c>
      <c r="O126" s="7"/>
      <c r="P126" s="7"/>
      <c r="Q126" s="7"/>
      <c r="R126" s="8"/>
      <c r="S126" s="8"/>
      <c r="T126" s="8"/>
      <c r="U126" s="607"/>
      <c r="V126" s="8"/>
      <c r="W126" s="8"/>
      <c r="X126" s="8"/>
      <c r="Y126" s="8"/>
    </row>
    <row r="127" spans="2:25" x14ac:dyDescent="0.25">
      <c r="E127" s="114"/>
      <c r="F127" s="7"/>
      <c r="G127" s="7"/>
      <c r="H127" s="21"/>
      <c r="I127" s="21" t="s">
        <v>797</v>
      </c>
      <c r="J127" s="85">
        <f>M35</f>
        <v>0.10000150634671325</v>
      </c>
      <c r="K127" s="86">
        <f>N35</f>
        <v>0.19999972881778538</v>
      </c>
      <c r="L127" s="87">
        <f>SUM(J127:K127)</f>
        <v>0.30000123516449861</v>
      </c>
      <c r="M127" s="7"/>
      <c r="N127" s="614">
        <f>K127/SUM(J127:K127)</f>
        <v>0.66666301793097693</v>
      </c>
      <c r="O127" s="7"/>
      <c r="P127" s="7"/>
      <c r="Q127" s="7"/>
      <c r="R127" s="8"/>
      <c r="S127" s="8"/>
      <c r="T127" s="8"/>
      <c r="U127" s="607"/>
      <c r="V127" s="8"/>
      <c r="W127" s="8"/>
      <c r="X127" s="8"/>
      <c r="Y127" s="8"/>
    </row>
    <row r="128" spans="2:25" ht="15.75" thickBot="1" x14ac:dyDescent="0.3">
      <c r="E128" s="114"/>
      <c r="F128" s="7"/>
      <c r="G128" s="7"/>
      <c r="H128" s="21"/>
      <c r="I128" s="21" t="s">
        <v>798</v>
      </c>
      <c r="J128" s="88">
        <f>O35</f>
        <v>0.29999914623744173</v>
      </c>
      <c r="K128" s="89">
        <f>P35</f>
        <v>0.39999961859805949</v>
      </c>
      <c r="L128" s="652">
        <f>SUM(J128:K128)</f>
        <v>0.69999876483550127</v>
      </c>
      <c r="M128" s="7"/>
      <c r="N128" s="618">
        <f>K128/SUM(J128:K128)</f>
        <v>0.57142903486702412</v>
      </c>
      <c r="O128" s="7"/>
      <c r="P128" s="7"/>
      <c r="Q128" s="7"/>
      <c r="R128" s="8"/>
      <c r="S128" s="8"/>
      <c r="T128" s="8"/>
      <c r="U128" s="607"/>
      <c r="V128" s="8"/>
      <c r="W128" s="8"/>
      <c r="X128" s="8"/>
      <c r="Y128" s="8"/>
    </row>
    <row r="129" spans="5:25" ht="15.75" thickBot="1" x14ac:dyDescent="0.3">
      <c r="E129" s="114"/>
      <c r="F129" s="7"/>
      <c r="G129" s="7"/>
      <c r="H129" s="17"/>
      <c r="I129" s="17"/>
      <c r="J129" s="116">
        <f>SUM(J127:J128)</f>
        <v>0.40000065258415496</v>
      </c>
      <c r="K129" s="147">
        <f>SUM(K127:K128)</f>
        <v>0.59999934741584493</v>
      </c>
      <c r="L129" s="92">
        <f>SUM(J127:K128)</f>
        <v>0.99999999999999978</v>
      </c>
      <c r="M129" s="7"/>
      <c r="N129" s="8"/>
      <c r="O129" s="7"/>
      <c r="P129" s="7"/>
      <c r="Q129" s="7" t="s">
        <v>259</v>
      </c>
      <c r="R129" s="7"/>
      <c r="S129" s="653"/>
      <c r="T129" s="8"/>
      <c r="U129" s="607"/>
      <c r="V129" s="8"/>
      <c r="W129" s="8"/>
      <c r="X129" s="8"/>
      <c r="Y129" s="8"/>
    </row>
    <row r="130" spans="5:25" x14ac:dyDescent="0.25">
      <c r="E130" s="114"/>
      <c r="F130" s="7"/>
      <c r="G130" s="7"/>
      <c r="H130" s="17"/>
      <c r="I130" s="17"/>
      <c r="J130" s="17"/>
      <c r="K130" s="17"/>
      <c r="L130" s="7"/>
      <c r="M130" s="7"/>
      <c r="N130" s="8"/>
      <c r="O130" s="7"/>
      <c r="P130" s="7"/>
      <c r="Q130" s="1359">
        <f>MIN($V$36)</f>
        <v>1.0682434104463567</v>
      </c>
      <c r="R130" s="1360">
        <f>COUNT($I$36:$L$36)</f>
        <v>4</v>
      </c>
      <c r="S130" s="8"/>
      <c r="T130" s="8"/>
      <c r="U130" s="607"/>
      <c r="V130" s="8"/>
      <c r="W130" s="8"/>
      <c r="X130" s="8"/>
      <c r="Y130" s="8"/>
    </row>
    <row r="131" spans="5:25" x14ac:dyDescent="0.25">
      <c r="E131" s="114"/>
      <c r="F131" s="7"/>
      <c r="G131" s="7"/>
      <c r="H131" s="1241"/>
      <c r="I131" s="756"/>
      <c r="J131" s="1241"/>
      <c r="K131" s="1241"/>
      <c r="L131" s="1241"/>
      <c r="M131" s="1241"/>
      <c r="N131" s="8"/>
      <c r="O131" s="7"/>
      <c r="P131" s="1241"/>
      <c r="Q131" s="1361" t="b">
        <f t="array" ref="Q131">$I$35:$L$35&lt;=$I$36:$L$36</f>
        <v>1</v>
      </c>
      <c r="R131" s="1362" t="b">
        <f>$L$128=$L$136</f>
        <v>0</v>
      </c>
      <c r="S131" s="8"/>
      <c r="T131" s="8"/>
      <c r="U131" s="607"/>
      <c r="V131" s="8"/>
      <c r="W131" s="8"/>
      <c r="X131" s="8"/>
      <c r="Y131" s="8"/>
    </row>
    <row r="132" spans="5:25" x14ac:dyDescent="0.25">
      <c r="E132" s="114"/>
      <c r="F132" s="7"/>
      <c r="G132" s="7"/>
      <c r="H132" s="1241"/>
      <c r="I132" s="1241"/>
      <c r="J132" s="1241"/>
      <c r="K132" s="1241"/>
      <c r="L132" s="1241"/>
      <c r="M132" s="1241"/>
      <c r="N132" s="622"/>
      <c r="O132" s="1241"/>
      <c r="P132" s="1241"/>
      <c r="Q132" s="1361" t="b">
        <f>$N$127=$N$135</f>
        <v>0</v>
      </c>
      <c r="R132" s="1362" t="b">
        <f>$P$36=$E$36</f>
        <v>0</v>
      </c>
      <c r="S132" s="7"/>
      <c r="T132" s="7"/>
      <c r="U132" s="100"/>
    </row>
    <row r="133" spans="5:25" ht="15.75" thickBot="1" x14ac:dyDescent="0.3">
      <c r="E133" s="114"/>
      <c r="F133" s="7"/>
      <c r="G133" s="7"/>
      <c r="H133" s="17"/>
      <c r="I133" s="17"/>
      <c r="J133" s="17"/>
      <c r="K133" s="17"/>
      <c r="L133" s="7"/>
      <c r="M133" s="7"/>
      <c r="N133" s="622"/>
      <c r="O133" s="1241"/>
      <c r="P133" s="7"/>
      <c r="Q133" s="1363">
        <f>{32767,32767,0.000001,0.01,FALSE,FALSE,TRUE,1,1,1,0.0001,FALSE}</f>
        <v>32767</v>
      </c>
      <c r="R133" s="1364">
        <f>{0,0,1,100,0,FALSE,TRUE,0.075,0,0,FALSE,30}</f>
        <v>0</v>
      </c>
      <c r="S133" s="7"/>
      <c r="T133" s="7"/>
      <c r="U133" s="100"/>
    </row>
    <row r="134" spans="5:25" ht="15.75" thickBot="1" x14ac:dyDescent="0.3">
      <c r="E134" s="114"/>
      <c r="F134" s="7"/>
      <c r="G134" s="7"/>
      <c r="H134" s="654">
        <v>8</v>
      </c>
      <c r="I134" s="17"/>
      <c r="J134" s="254" t="s">
        <v>246</v>
      </c>
      <c r="K134" s="254" t="s">
        <v>245</v>
      </c>
      <c r="L134" s="608"/>
      <c r="M134" s="7"/>
      <c r="N134" s="8" t="s">
        <v>54</v>
      </c>
      <c r="O134" s="7"/>
      <c r="P134" s="7"/>
      <c r="Q134" s="7"/>
      <c r="R134" s="7"/>
      <c r="S134" s="7"/>
      <c r="T134" s="7"/>
      <c r="U134" s="100"/>
    </row>
    <row r="135" spans="5:25" x14ac:dyDescent="0.25">
      <c r="E135" s="114"/>
      <c r="F135" s="7"/>
      <c r="G135" s="7"/>
      <c r="H135" s="21"/>
      <c r="I135" s="21" t="s">
        <v>797</v>
      </c>
      <c r="J135" s="85">
        <f>M36</f>
        <v>0.10000150127410369</v>
      </c>
      <c r="K135" s="86">
        <f>N36</f>
        <v>0.19999971867295302</v>
      </c>
      <c r="L135" s="87">
        <f>SUM(J135:K135)</f>
        <v>0.3000012199470567</v>
      </c>
      <c r="M135" s="7"/>
      <c r="N135" s="614">
        <f>K135/SUM(J135:K135)</f>
        <v>0.66666301793122162</v>
      </c>
      <c r="O135" s="7"/>
      <c r="P135" s="7"/>
      <c r="Q135" s="7"/>
      <c r="R135" s="7"/>
      <c r="S135" s="7"/>
      <c r="T135" s="7"/>
      <c r="U135" s="100"/>
    </row>
    <row r="136" spans="5:25" ht="15.75" thickBot="1" x14ac:dyDescent="0.3">
      <c r="E136" s="114"/>
      <c r="F136" s="7"/>
      <c r="G136" s="7"/>
      <c r="H136" s="21"/>
      <c r="I136" s="21" t="s">
        <v>798</v>
      </c>
      <c r="J136" s="88">
        <f>O36</f>
        <v>0.34999877556824549</v>
      </c>
      <c r="K136" s="89">
        <f>P36</f>
        <v>0.35000000448469776</v>
      </c>
      <c r="L136" s="652">
        <f>SUM(J136:K136)</f>
        <v>0.69999878005294325</v>
      </c>
      <c r="M136" s="17"/>
      <c r="N136" s="618">
        <f>K136/SUM(J136:K136)</f>
        <v>0.50000087779899571</v>
      </c>
      <c r="O136" s="7"/>
      <c r="P136" s="7"/>
      <c r="Q136" s="7"/>
      <c r="R136" s="7"/>
      <c r="S136" s="7"/>
      <c r="T136" s="7"/>
      <c r="U136" s="100"/>
    </row>
    <row r="137" spans="5:25" ht="15.75" thickBot="1" x14ac:dyDescent="0.3">
      <c r="E137" s="114"/>
      <c r="F137" s="7"/>
      <c r="G137" s="7"/>
      <c r="H137" s="17"/>
      <c r="I137" s="17"/>
      <c r="J137" s="116">
        <f>SUM(J135:J136)</f>
        <v>0.45000027684234917</v>
      </c>
      <c r="K137" s="544">
        <f>SUM(K135:K136)</f>
        <v>0.54999972315765078</v>
      </c>
      <c r="L137" s="92">
        <f>SUM(J135:K136)</f>
        <v>1</v>
      </c>
      <c r="M137" s="7"/>
      <c r="N137" s="7"/>
      <c r="O137" s="7"/>
      <c r="P137" s="7"/>
      <c r="Q137" s="7"/>
      <c r="R137" s="7"/>
      <c r="S137" s="7"/>
      <c r="T137" s="7"/>
      <c r="U137" s="100"/>
    </row>
    <row r="138" spans="5:25" x14ac:dyDescent="0.25">
      <c r="E138" s="114"/>
      <c r="F138" s="7"/>
      <c r="G138" s="7"/>
      <c r="H138" s="17"/>
      <c r="I138" s="17"/>
      <c r="J138" s="17"/>
      <c r="K138" s="17"/>
      <c r="L138" s="7"/>
      <c r="M138" s="7"/>
      <c r="N138" s="615" t="s">
        <v>847</v>
      </c>
      <c r="O138" s="7"/>
      <c r="P138" s="7"/>
      <c r="Q138" s="7"/>
      <c r="R138" s="7"/>
      <c r="S138" s="7"/>
      <c r="T138" s="7"/>
      <c r="U138" s="100"/>
    </row>
    <row r="139" spans="5:25" x14ac:dyDescent="0.25">
      <c r="E139" s="114"/>
      <c r="F139" s="7"/>
      <c r="G139" s="7"/>
      <c r="H139" s="1241"/>
      <c r="I139" s="756"/>
      <c r="J139" s="1241"/>
      <c r="K139" s="1241"/>
      <c r="L139" s="1241"/>
      <c r="M139" s="1241"/>
      <c r="N139" s="615" t="s">
        <v>849</v>
      </c>
      <c r="O139" s="1241"/>
      <c r="P139" s="1241"/>
      <c r="Q139" s="1241"/>
      <c r="R139" s="7"/>
      <c r="S139" s="7"/>
      <c r="T139" s="7"/>
      <c r="U139" s="100"/>
    </row>
    <row r="140" spans="5:25" x14ac:dyDescent="0.25">
      <c r="E140" s="114"/>
      <c r="F140" s="7"/>
      <c r="G140" s="7"/>
      <c r="H140" s="7"/>
      <c r="I140" s="17"/>
      <c r="J140" s="17"/>
      <c r="K140" s="17"/>
      <c r="L140" s="17"/>
      <c r="M140" s="17"/>
      <c r="N140" s="17"/>
      <c r="O140" s="7"/>
      <c r="P140" s="7"/>
      <c r="Q140" s="7"/>
      <c r="R140" s="7"/>
      <c r="S140" s="7"/>
      <c r="T140" s="7"/>
      <c r="U140" s="100"/>
    </row>
    <row r="141" spans="5:25" x14ac:dyDescent="0.25">
      <c r="E141" s="114"/>
      <c r="F141" s="189" t="s">
        <v>850</v>
      </c>
      <c r="G141" s="7"/>
      <c r="H141" s="21"/>
      <c r="I141" s="626">
        <f>I36-I35</f>
        <v>1.068243004643695</v>
      </c>
      <c r="J141" s="626">
        <f>J36-J35</f>
        <v>1.0682430046525013</v>
      </c>
      <c r="K141" s="626">
        <f>K36-K35</f>
        <v>2.3014436290378857</v>
      </c>
      <c r="L141" s="626">
        <f>L36-L35</f>
        <v>0</v>
      </c>
      <c r="M141" s="17"/>
      <c r="N141" s="17"/>
      <c r="O141" s="7"/>
      <c r="P141" s="7"/>
      <c r="Q141" s="7"/>
      <c r="R141" s="7"/>
      <c r="S141" s="7"/>
      <c r="T141" s="7"/>
      <c r="U141" s="100"/>
    </row>
    <row r="142" spans="5:25" hidden="1" x14ac:dyDescent="0.25">
      <c r="E142" s="114"/>
      <c r="F142" s="7"/>
      <c r="G142" s="7"/>
      <c r="H142" s="7"/>
      <c r="I142" s="17"/>
      <c r="J142" s="627" t="s">
        <v>248</v>
      </c>
      <c r="K142" s="274">
        <v>1</v>
      </c>
      <c r="L142" s="274">
        <v>0</v>
      </c>
      <c r="M142" s="274">
        <v>0</v>
      </c>
      <c r="N142" s="1248">
        <v>0</v>
      </c>
      <c r="O142" s="7"/>
      <c r="P142" s="7"/>
      <c r="Q142" s="7"/>
      <c r="R142" s="7"/>
      <c r="S142" s="7"/>
      <c r="T142" s="7"/>
      <c r="U142" s="100"/>
    </row>
    <row r="143" spans="5:25" hidden="1" x14ac:dyDescent="0.25">
      <c r="E143" s="114"/>
      <c r="F143" s="7"/>
      <c r="G143" s="7"/>
      <c r="H143" s="7"/>
      <c r="I143" s="17"/>
      <c r="J143" s="628" t="s">
        <v>249</v>
      </c>
      <c r="K143" s="1242">
        <v>0</v>
      </c>
      <c r="L143" s="1242">
        <v>1</v>
      </c>
      <c r="M143" s="1242">
        <v>0</v>
      </c>
      <c r="N143" s="181">
        <v>0</v>
      </c>
      <c r="O143" s="7"/>
      <c r="P143" s="7"/>
      <c r="Q143" s="7"/>
      <c r="R143" s="7"/>
      <c r="S143" s="7"/>
      <c r="T143" s="7"/>
      <c r="U143" s="100"/>
    </row>
    <row r="144" spans="5:25" hidden="1" x14ac:dyDescent="0.25">
      <c r="E144" s="114"/>
      <c r="F144" s="7"/>
      <c r="G144" s="7"/>
      <c r="H144" s="7"/>
      <c r="I144" s="17"/>
      <c r="J144" s="628" t="s">
        <v>250</v>
      </c>
      <c r="K144" s="1242">
        <v>0</v>
      </c>
      <c r="L144" s="1242">
        <v>0</v>
      </c>
      <c r="M144" s="1242">
        <v>1</v>
      </c>
      <c r="N144" s="181">
        <v>0</v>
      </c>
      <c r="O144" s="7"/>
      <c r="P144" s="7"/>
      <c r="Q144" s="7"/>
      <c r="R144" s="7"/>
      <c r="S144" s="7"/>
      <c r="T144" s="7"/>
      <c r="U144" s="100"/>
    </row>
    <row r="145" spans="5:21" ht="15.75" hidden="1" thickBot="1" x14ac:dyDescent="0.3">
      <c r="E145" s="114"/>
      <c r="F145" s="7"/>
      <c r="G145" s="7"/>
      <c r="H145" s="7"/>
      <c r="I145" s="17"/>
      <c r="J145" s="629" t="s">
        <v>251</v>
      </c>
      <c r="K145" s="1246">
        <v>0</v>
      </c>
      <c r="L145" s="1246">
        <v>0</v>
      </c>
      <c r="M145" s="1246">
        <v>0</v>
      </c>
      <c r="N145" s="1249">
        <v>1</v>
      </c>
      <c r="O145" s="7"/>
      <c r="P145" s="7"/>
      <c r="Q145" s="7"/>
      <c r="R145" s="7"/>
      <c r="S145" s="7"/>
      <c r="T145" s="7"/>
      <c r="U145" s="100"/>
    </row>
    <row r="146" spans="5:21" hidden="1" x14ac:dyDescent="0.25">
      <c r="E146" s="114"/>
      <c r="F146" s="7"/>
      <c r="G146" s="7"/>
      <c r="H146" s="7"/>
      <c r="I146" s="17"/>
      <c r="J146" s="17"/>
      <c r="K146" s="17"/>
      <c r="L146" s="17"/>
      <c r="M146" s="17"/>
      <c r="N146" s="17"/>
      <c r="O146" s="7"/>
      <c r="P146" s="7"/>
      <c r="Q146" s="7"/>
      <c r="R146" s="7"/>
      <c r="S146" s="7"/>
      <c r="T146" s="7"/>
      <c r="U146" s="100"/>
    </row>
    <row r="147" spans="5:21" hidden="1" x14ac:dyDescent="0.25">
      <c r="E147" s="114"/>
      <c r="F147" s="7"/>
      <c r="G147" s="7"/>
      <c r="H147" s="7"/>
      <c r="I147" s="360" t="s">
        <v>248</v>
      </c>
      <c r="J147" s="360" t="s">
        <v>249</v>
      </c>
      <c r="K147" s="360" t="s">
        <v>250</v>
      </c>
      <c r="L147" s="360" t="s">
        <v>251</v>
      </c>
      <c r="M147" s="17"/>
      <c r="N147" s="17"/>
      <c r="O147" s="7"/>
      <c r="P147" s="7"/>
      <c r="Q147" s="7"/>
      <c r="R147" s="7"/>
      <c r="S147" s="7"/>
      <c r="T147" s="7"/>
      <c r="U147" s="100"/>
    </row>
    <row r="148" spans="5:21" hidden="1" x14ac:dyDescent="0.25">
      <c r="E148" s="114"/>
      <c r="F148" s="7"/>
      <c r="G148" s="7"/>
      <c r="H148" s="21" t="s">
        <v>252</v>
      </c>
      <c r="I148" s="630">
        <f>SUMPRODUCT($K142:$N142,$I$141:$L$141)</f>
        <v>1.068243004643695</v>
      </c>
      <c r="J148" s="631">
        <f>SUMPRODUCT($K143:$N143,$I$141:$L$141)</f>
        <v>1.0682430046525013</v>
      </c>
      <c r="K148" s="631">
        <f>SUMPRODUCT($K144:$N144,$I$141:$L$141)</f>
        <v>2.3014436290378857</v>
      </c>
      <c r="L148" s="632">
        <f>SUMPRODUCT($K145:$N145,$I$141:$L$141)</f>
        <v>0</v>
      </c>
      <c r="M148" s="17"/>
      <c r="N148" s="17"/>
      <c r="O148" s="7"/>
      <c r="P148" s="7"/>
      <c r="Q148" s="7"/>
      <c r="R148" s="7"/>
      <c r="S148" s="7"/>
      <c r="T148" s="7"/>
      <c r="U148" s="100"/>
    </row>
    <row r="149" spans="5:21" hidden="1" x14ac:dyDescent="0.25">
      <c r="E149" s="114"/>
      <c r="F149" s="7"/>
      <c r="G149" s="7"/>
      <c r="H149" s="21" t="s">
        <v>173</v>
      </c>
      <c r="I149" s="633">
        <f>$V$36</f>
        <v>1.0682434104463567</v>
      </c>
      <c r="J149" s="253">
        <f>$V$36</f>
        <v>1.0682434104463567</v>
      </c>
      <c r="K149" s="253">
        <f>$V$36</f>
        <v>1.0682434104463567</v>
      </c>
      <c r="L149" s="634">
        <f>$V$36</f>
        <v>1.0682434104463567</v>
      </c>
      <c r="M149" s="17"/>
      <c r="N149" s="17"/>
      <c r="O149" s="7"/>
      <c r="P149" s="7"/>
      <c r="Q149" s="7"/>
      <c r="R149" s="7"/>
      <c r="S149" s="7"/>
      <c r="T149" s="7"/>
      <c r="U149" s="100"/>
    </row>
    <row r="150" spans="5:21" hidden="1" x14ac:dyDescent="0.25">
      <c r="E150" s="114"/>
      <c r="F150" s="7"/>
      <c r="G150" s="7"/>
      <c r="H150" s="21" t="s">
        <v>253</v>
      </c>
      <c r="I150" s="633">
        <f>SUMPRODUCT($I$141:$L$141,$M$35:$P$35)</f>
        <v>1.0109053446756704</v>
      </c>
      <c r="J150" s="253">
        <f>SUMPRODUCT($I$141:$L$141,$M$35:$P$35)</f>
        <v>1.0109053446756704</v>
      </c>
      <c r="K150" s="253">
        <f>SUMPRODUCT($I$141:$L$141,$M$35:$P$35)</f>
        <v>1.0109053446756704</v>
      </c>
      <c r="L150" s="634">
        <f>SUMPRODUCT($I$141:$L$141,$M$35:$P$35)</f>
        <v>1.0109053446756704</v>
      </c>
      <c r="M150" s="17"/>
      <c r="N150" s="17"/>
      <c r="O150" s="7"/>
      <c r="P150" s="7"/>
      <c r="Q150" s="7"/>
      <c r="R150" s="7"/>
      <c r="S150" s="7"/>
      <c r="T150" s="7"/>
      <c r="U150" s="100"/>
    </row>
    <row r="151" spans="5:21" hidden="1" x14ac:dyDescent="0.25">
      <c r="E151" s="114"/>
      <c r="F151" s="7"/>
      <c r="G151" s="7"/>
      <c r="H151" s="21" t="s">
        <v>227</v>
      </c>
      <c r="I151" s="635">
        <f>(I148/I149)-1</f>
        <v>-3.7987846002174308E-7</v>
      </c>
      <c r="J151" s="19">
        <f>(J148/J149)-1</f>
        <v>-3.7987021628271833E-7</v>
      </c>
      <c r="K151" s="19">
        <f>(K148/K149)-1</f>
        <v>1.1544187462633131</v>
      </c>
      <c r="L151" s="636">
        <f>(L148/L149)-1</f>
        <v>-1</v>
      </c>
      <c r="M151" s="17"/>
      <c r="N151" s="17"/>
      <c r="O151" s="7"/>
      <c r="P151" s="7"/>
      <c r="Q151" s="7"/>
      <c r="R151" s="7"/>
      <c r="S151" s="7"/>
      <c r="T151" s="7"/>
      <c r="U151" s="100"/>
    </row>
    <row r="152" spans="5:21" ht="15.75" hidden="1" thickBot="1" x14ac:dyDescent="0.3">
      <c r="E152" s="114"/>
      <c r="F152" s="7"/>
      <c r="G152" s="7"/>
      <c r="H152" s="142" t="s">
        <v>254</v>
      </c>
      <c r="I152" s="637">
        <f>(I148/I150)-1</f>
        <v>5.6719118431825422E-2</v>
      </c>
      <c r="J152" s="638">
        <f>(J148/J150)-1</f>
        <v>5.6719118440536676E-2</v>
      </c>
      <c r="K152" s="638">
        <f>(K148/K150)-1</f>
        <v>1.2766163431218773</v>
      </c>
      <c r="L152" s="639">
        <f>(L148/L150)-1</f>
        <v>-1</v>
      </c>
      <c r="M152" s="17"/>
      <c r="N152" s="17"/>
      <c r="O152" s="7"/>
      <c r="P152" s="7"/>
      <c r="Q152" s="7"/>
      <c r="R152" s="7"/>
      <c r="S152" s="7"/>
      <c r="T152" s="7"/>
      <c r="U152" s="100"/>
    </row>
    <row r="153" spans="5:21" hidden="1" x14ac:dyDescent="0.25">
      <c r="E153" s="114"/>
      <c r="F153" s="7"/>
      <c r="G153" s="7"/>
      <c r="H153" s="7"/>
      <c r="I153" s="17"/>
      <c r="J153" s="17"/>
      <c r="K153" s="17"/>
      <c r="L153" s="17"/>
      <c r="M153" s="17"/>
      <c r="N153" s="17"/>
      <c r="O153" s="7"/>
      <c r="P153" s="7"/>
      <c r="Q153" s="7"/>
      <c r="R153" s="7"/>
      <c r="S153" s="7"/>
      <c r="T153" s="7"/>
      <c r="U153" s="100"/>
    </row>
    <row r="154" spans="5:21" hidden="1" x14ac:dyDescent="0.25">
      <c r="E154" s="114"/>
      <c r="F154" s="7"/>
      <c r="G154" s="7"/>
      <c r="H154" s="21" t="s">
        <v>255</v>
      </c>
      <c r="I154" s="640">
        <f>M$36</f>
        <v>0.10000150127410369</v>
      </c>
      <c r="J154" s="641">
        <f>N$36</f>
        <v>0.19999971867295302</v>
      </c>
      <c r="K154" s="379">
        <f>O$36</f>
        <v>0.34999877556824549</v>
      </c>
      <c r="L154" s="379">
        <f>P$36</f>
        <v>0.35000000448469776</v>
      </c>
      <c r="M154" s="1075"/>
      <c r="N154" s="1075"/>
      <c r="O154" s="8"/>
      <c r="P154" s="778">
        <v>0.10000150127410369</v>
      </c>
      <c r="Q154" s="779">
        <v>0.19999971867295302</v>
      </c>
      <c r="R154" s="780">
        <v>0.34999877556824549</v>
      </c>
      <c r="S154" s="781">
        <v>0.35000000448469776</v>
      </c>
      <c r="T154" s="755"/>
      <c r="U154" s="100"/>
    </row>
    <row r="155" spans="5:21" ht="15.75" hidden="1" thickBot="1" x14ac:dyDescent="0.3">
      <c r="E155" s="114"/>
      <c r="F155" s="7"/>
      <c r="G155" s="7"/>
      <c r="H155" s="140"/>
      <c r="I155" s="642">
        <f>I154/SUM(I154:J154)</f>
        <v>0.33333698206877843</v>
      </c>
      <c r="J155" s="643">
        <f>J154/SUM(I154:J154)</f>
        <v>0.66666301793122162</v>
      </c>
      <c r="K155" s="141"/>
      <c r="L155" s="140"/>
      <c r="M155" s="1075"/>
      <c r="N155" s="1075"/>
      <c r="O155" s="8"/>
      <c r="P155" s="187" t="s">
        <v>317</v>
      </c>
      <c r="Q155" s="7"/>
      <c r="R155" s="7"/>
      <c r="S155" s="7"/>
      <c r="T155" s="7"/>
      <c r="U155" s="100"/>
    </row>
    <row r="156" spans="5:21" hidden="1" x14ac:dyDescent="0.25">
      <c r="E156" s="114"/>
      <c r="F156" s="7"/>
      <c r="G156" s="7"/>
      <c r="H156" s="142" t="s">
        <v>256</v>
      </c>
      <c r="I156" s="645">
        <f>SUMPRODUCT(I152:J152,I155:J155)</f>
        <v>5.6719118437632894E-2</v>
      </c>
      <c r="J156" s="140"/>
      <c r="K156" s="142"/>
      <c r="L156" s="1075"/>
      <c r="M156" s="144"/>
      <c r="N156" s="144"/>
      <c r="O156" s="145"/>
      <c r="P156" s="782">
        <f>P154</f>
        <v>0.10000150127410369</v>
      </c>
      <c r="Q156" s="7"/>
      <c r="R156" s="784">
        <f>R154</f>
        <v>0.34999877556824549</v>
      </c>
      <c r="S156" s="7"/>
      <c r="T156" s="7"/>
      <c r="U156" s="100"/>
    </row>
    <row r="157" spans="5:21" hidden="1" x14ac:dyDescent="0.25">
      <c r="E157" s="114"/>
      <c r="F157" s="7"/>
      <c r="G157" s="7"/>
      <c r="H157" s="8"/>
      <c r="I157" s="140"/>
      <c r="J157" s="140"/>
      <c r="K157" s="142"/>
      <c r="L157" s="1075"/>
      <c r="M157" s="144"/>
      <c r="N157" s="144"/>
      <c r="O157" s="145"/>
      <c r="P157" s="187">
        <f>P154/SUM(P154,R154)</f>
        <v>0.22222542167265757</v>
      </c>
      <c r="Q157" s="7"/>
      <c r="R157" s="187">
        <f>R154/SUM(R154,P154)</f>
        <v>0.77777457832734243</v>
      </c>
      <c r="S157" s="7"/>
      <c r="T157" s="7"/>
      <c r="U157" s="100"/>
    </row>
    <row r="158" spans="5:21" hidden="1" x14ac:dyDescent="0.25">
      <c r="E158" s="114"/>
      <c r="F158" s="7"/>
      <c r="G158" s="7"/>
      <c r="H158" s="7"/>
      <c r="I158" s="646"/>
      <c r="J158" s="646"/>
      <c r="K158" s="640">
        <f>O$36</f>
        <v>0.34999877556824549</v>
      </c>
      <c r="L158" s="641">
        <f>P$36</f>
        <v>0.35000000448469776</v>
      </c>
      <c r="M158" s="7" t="s">
        <v>257</v>
      </c>
      <c r="N158" s="144"/>
      <c r="O158" s="145"/>
      <c r="P158" s="7"/>
      <c r="Q158" s="783">
        <f>P157*I152 + R157*K152</f>
        <v>1.005524167967826</v>
      </c>
      <c r="R158" s="7"/>
      <c r="S158" s="7"/>
      <c r="T158" s="7"/>
      <c r="U158" s="100"/>
    </row>
    <row r="159" spans="5:21" ht="15.75" hidden="1" thickBot="1" x14ac:dyDescent="0.3">
      <c r="E159" s="114"/>
      <c r="F159" s="7"/>
      <c r="G159" s="7"/>
      <c r="H159" s="140"/>
      <c r="I159" s="646"/>
      <c r="J159" s="646"/>
      <c r="K159" s="642">
        <f>K158/SUM(K158:L158)</f>
        <v>0.49999912220100429</v>
      </c>
      <c r="L159" s="643">
        <f>L158/SUM(K158:L158)</f>
        <v>0.50000087779899571</v>
      </c>
      <c r="M159" s="144"/>
      <c r="N159" s="144"/>
      <c r="O159" s="145"/>
      <c r="P159" s="7"/>
      <c r="Q159" s="7"/>
      <c r="R159" s="7"/>
      <c r="S159" s="7" t="s">
        <v>318</v>
      </c>
      <c r="T159" s="7"/>
      <c r="U159" s="100"/>
    </row>
    <row r="160" spans="5:21" hidden="1" x14ac:dyDescent="0.25">
      <c r="E160" s="114"/>
      <c r="F160" s="7"/>
      <c r="G160" s="7"/>
      <c r="H160" s="8"/>
      <c r="I160" s="17"/>
      <c r="J160" s="140"/>
      <c r="K160" s="17"/>
      <c r="L160" s="645">
        <f>SUMPRODUCT(K152:L152,K159:L159)</f>
        <v>0.13830617314939908</v>
      </c>
      <c r="M160" s="647" t="s">
        <v>256</v>
      </c>
      <c r="N160" s="144"/>
      <c r="O160" s="145"/>
      <c r="P160" s="7"/>
      <c r="Q160" s="784">
        <f>Q154</f>
        <v>0.19999971867295302</v>
      </c>
      <c r="R160" s="7"/>
      <c r="S160" s="784">
        <f>S154</f>
        <v>0.35000000448469776</v>
      </c>
      <c r="T160" s="7"/>
      <c r="U160" s="100"/>
    </row>
    <row r="161" spans="2:27" hidden="1" x14ac:dyDescent="0.25">
      <c r="E161" s="114"/>
      <c r="F161" s="7"/>
      <c r="G161" s="7"/>
      <c r="H161" s="7"/>
      <c r="I161" s="615" t="s">
        <v>258</v>
      </c>
      <c r="J161" s="17"/>
      <c r="K161" s="17"/>
      <c r="L161" s="17"/>
      <c r="M161" s="17"/>
      <c r="N161" s="17"/>
      <c r="O161" s="7"/>
      <c r="P161" s="7"/>
      <c r="Q161" s="7"/>
      <c r="R161" s="7"/>
      <c r="S161" s="7"/>
      <c r="T161" s="7"/>
      <c r="U161" s="100"/>
    </row>
    <row r="162" spans="2:27" hidden="1" x14ac:dyDescent="0.25">
      <c r="E162" s="114"/>
      <c r="F162" s="7"/>
      <c r="G162" s="7"/>
      <c r="H162" s="7"/>
      <c r="I162" s="21" t="s">
        <v>319</v>
      </c>
      <c r="J162" s="649">
        <f>I156*L135+L160*L136</f>
        <v>0.11382995720398197</v>
      </c>
      <c r="K162" s="17"/>
      <c r="L162" s="17"/>
      <c r="M162" s="17"/>
      <c r="N162" s="17"/>
      <c r="O162" s="7"/>
      <c r="P162" s="7"/>
      <c r="Q162" s="7"/>
      <c r="R162" s="7"/>
      <c r="S162" s="7"/>
      <c r="T162" s="7"/>
      <c r="U162" s="100"/>
    </row>
    <row r="163" spans="2:27" hidden="1" x14ac:dyDescent="0.25">
      <c r="E163" s="114"/>
      <c r="F163" s="7"/>
      <c r="G163" s="7"/>
      <c r="H163" s="7"/>
      <c r="I163" s="1241"/>
      <c r="J163" s="17"/>
      <c r="K163" s="17"/>
      <c r="L163" s="17"/>
      <c r="M163" s="17"/>
      <c r="N163" s="17"/>
      <c r="O163" s="7">
        <v>0.11382995720398197</v>
      </c>
      <c r="P163" s="7"/>
      <c r="Q163" s="7"/>
      <c r="R163" s="7"/>
      <c r="S163" s="7"/>
      <c r="T163" s="7"/>
      <c r="U163" s="100"/>
    </row>
    <row r="164" spans="2:27" hidden="1" x14ac:dyDescent="0.25">
      <c r="E164" s="114"/>
      <c r="F164" s="7"/>
      <c r="G164" s="7"/>
      <c r="H164" s="7"/>
      <c r="I164" s="21" t="s">
        <v>320</v>
      </c>
      <c r="J164" s="649">
        <f>SUMPRODUCT(I152:L152,M35:P35)</f>
        <v>0</v>
      </c>
      <c r="K164" s="189" t="s">
        <v>316</v>
      </c>
      <c r="L164" s="17"/>
      <c r="M164" s="17"/>
      <c r="N164" s="17"/>
      <c r="O164" s="7"/>
      <c r="P164" s="7"/>
      <c r="Q164" s="7"/>
      <c r="R164" s="7"/>
      <c r="S164" s="7"/>
      <c r="T164" s="7"/>
      <c r="U164" s="100"/>
    </row>
    <row r="165" spans="2:27" ht="15.75" hidden="1" thickBot="1" x14ac:dyDescent="0.3">
      <c r="E165" s="119"/>
      <c r="F165" s="166"/>
      <c r="G165" s="166"/>
      <c r="H165" s="166"/>
      <c r="I165" s="252"/>
      <c r="J165" s="252"/>
      <c r="K165" s="252"/>
      <c r="L165" s="252"/>
      <c r="M165" s="252"/>
      <c r="N165" s="252"/>
      <c r="O165" s="166"/>
      <c r="P165" s="166"/>
      <c r="Q165" s="166"/>
      <c r="R165" s="166"/>
      <c r="S165" s="166"/>
      <c r="T165" s="166"/>
      <c r="U165" s="102"/>
    </row>
    <row r="166" spans="2:27" hidden="1" x14ac:dyDescent="0.25">
      <c r="E166" s="114"/>
      <c r="F166" s="7"/>
      <c r="G166" s="7"/>
      <c r="H166" s="7"/>
      <c r="I166" s="17"/>
      <c r="J166" s="17"/>
      <c r="K166" s="17"/>
      <c r="L166" s="17"/>
      <c r="M166" s="17"/>
      <c r="N166" s="17"/>
      <c r="O166" s="7"/>
      <c r="P166" s="7"/>
      <c r="Q166" s="7"/>
      <c r="R166" s="7"/>
      <c r="S166" s="7"/>
      <c r="T166" s="7"/>
      <c r="U166" s="100"/>
    </row>
    <row r="167" spans="2:27" hidden="1" x14ac:dyDescent="0.25">
      <c r="E167" s="9"/>
      <c r="F167" s="10"/>
      <c r="G167" s="10"/>
      <c r="H167" s="10"/>
      <c r="I167" s="251"/>
      <c r="J167" s="251"/>
      <c r="K167" s="251"/>
      <c r="L167" s="251"/>
      <c r="M167" s="251"/>
      <c r="N167" s="251"/>
      <c r="O167" s="10"/>
      <c r="P167" s="10"/>
      <c r="Q167" s="10"/>
      <c r="R167" s="10"/>
      <c r="S167" s="10"/>
      <c r="T167" s="10"/>
      <c r="U167" s="11"/>
    </row>
    <row r="168" spans="2:27" hidden="1" x14ac:dyDescent="0.25">
      <c r="E168" s="114"/>
      <c r="F168" s="7"/>
      <c r="G168" s="7"/>
      <c r="H168" s="7"/>
      <c r="I168" s="17"/>
      <c r="J168" s="17"/>
      <c r="K168" s="17"/>
      <c r="L168" s="17"/>
      <c r="M168" s="17"/>
      <c r="N168" s="17"/>
      <c r="O168" s="7"/>
      <c r="P168" s="7"/>
      <c r="Q168" s="7"/>
      <c r="R168" s="7"/>
      <c r="S168" s="7"/>
      <c r="T168" s="7"/>
      <c r="U168" s="100"/>
    </row>
    <row r="169" spans="2:27" x14ac:dyDescent="0.25">
      <c r="E169" s="114"/>
      <c r="F169" s="7"/>
      <c r="G169" s="7"/>
      <c r="H169" s="7"/>
      <c r="I169" s="17" t="s">
        <v>853</v>
      </c>
      <c r="J169" s="17"/>
      <c r="K169" s="17"/>
      <c r="L169" s="17"/>
      <c r="M169" s="17"/>
      <c r="N169" s="17"/>
      <c r="O169" s="7"/>
      <c r="P169" s="7"/>
      <c r="Q169" s="7"/>
      <c r="R169" s="7"/>
      <c r="S169" s="7"/>
      <c r="T169" s="7"/>
      <c r="U169" s="100"/>
      <c r="AA169" s="4"/>
    </row>
    <row r="170" spans="2:27" x14ac:dyDescent="0.25">
      <c r="E170" s="114"/>
      <c r="F170" s="245"/>
      <c r="G170" s="245"/>
      <c r="H170" s="245"/>
      <c r="I170" s="257"/>
      <c r="J170" s="257"/>
      <c r="K170" s="257"/>
      <c r="L170" s="257"/>
      <c r="M170" s="257"/>
      <c r="N170" s="257"/>
      <c r="O170" s="245"/>
      <c r="P170" s="245"/>
      <c r="Q170" s="245"/>
      <c r="R170" s="245"/>
      <c r="S170" s="245"/>
      <c r="T170" s="245"/>
      <c r="U170" s="100"/>
    </row>
    <row r="171" spans="2:27" ht="15.75" thickBot="1" x14ac:dyDescent="0.3">
      <c r="E171" s="114"/>
      <c r="F171" s="7"/>
      <c r="G171" s="7"/>
      <c r="H171" s="7"/>
      <c r="I171" s="17"/>
      <c r="J171" s="17"/>
      <c r="K171" s="17"/>
      <c r="L171" s="17"/>
      <c r="M171" s="17"/>
      <c r="N171" s="17"/>
      <c r="O171" s="7"/>
      <c r="P171" s="7"/>
      <c r="Q171" s="7"/>
      <c r="R171" s="7"/>
      <c r="S171" s="7"/>
      <c r="T171" s="7"/>
      <c r="U171" s="100"/>
    </row>
    <row r="172" spans="2:27" x14ac:dyDescent="0.25">
      <c r="B172" s="7"/>
      <c r="C172" s="7"/>
      <c r="D172" s="7"/>
      <c r="E172" s="114"/>
      <c r="F172" s="7" t="s">
        <v>834</v>
      </c>
      <c r="G172" s="7"/>
      <c r="H172" s="7"/>
      <c r="I172" s="7"/>
      <c r="J172" s="17"/>
      <c r="K172" s="17"/>
      <c r="L172" s="17"/>
      <c r="M172" s="627" t="s">
        <v>248</v>
      </c>
      <c r="N172" s="274">
        <v>1</v>
      </c>
      <c r="O172" s="274">
        <v>0</v>
      </c>
      <c r="P172" s="274">
        <v>0</v>
      </c>
      <c r="Q172" s="1248">
        <v>0</v>
      </c>
      <c r="R172" s="7"/>
      <c r="S172" s="7"/>
      <c r="T172" s="7"/>
      <c r="U172" s="100"/>
      <c r="V172" s="194"/>
      <c r="W172" s="7"/>
    </row>
    <row r="173" spans="2:27" x14ac:dyDescent="0.25">
      <c r="B173" s="7"/>
      <c r="C173" s="7"/>
      <c r="D173" s="7"/>
      <c r="E173" s="114"/>
      <c r="F173" s="7"/>
      <c r="G173" s="7"/>
      <c r="H173" s="7"/>
      <c r="I173" s="7"/>
      <c r="J173" s="17"/>
      <c r="K173" s="17"/>
      <c r="L173" s="17"/>
      <c r="M173" s="628" t="s">
        <v>249</v>
      </c>
      <c r="N173" s="1242">
        <v>0</v>
      </c>
      <c r="O173" s="1242">
        <v>1</v>
      </c>
      <c r="P173" s="1242">
        <v>0</v>
      </c>
      <c r="Q173" s="181">
        <v>0</v>
      </c>
      <c r="R173" s="7"/>
      <c r="S173" s="7"/>
      <c r="T173" s="7"/>
      <c r="U173" s="100"/>
      <c r="V173" s="255"/>
      <c r="W173" s="255"/>
      <c r="X173" s="255"/>
      <c r="Y173" s="255"/>
      <c r="Z173" s="255"/>
      <c r="AA173" s="255"/>
    </row>
    <row r="174" spans="2:27" x14ac:dyDescent="0.25">
      <c r="B174" s="7"/>
      <c r="C174" s="7"/>
      <c r="D174" s="7"/>
      <c r="E174" s="114"/>
      <c r="F174" s="7"/>
      <c r="G174" s="7"/>
      <c r="H174" s="7"/>
      <c r="I174" s="7"/>
      <c r="J174" s="17"/>
      <c r="K174" s="17"/>
      <c r="L174" s="17"/>
      <c r="M174" s="628" t="s">
        <v>250</v>
      </c>
      <c r="N174" s="1242">
        <v>0</v>
      </c>
      <c r="O174" s="1242">
        <v>0</v>
      </c>
      <c r="P174" s="1242">
        <v>1</v>
      </c>
      <c r="Q174" s="181">
        <v>0</v>
      </c>
      <c r="R174" s="7"/>
      <c r="S174" s="7"/>
      <c r="T174" s="7"/>
      <c r="U174" s="100"/>
      <c r="V174" s="255"/>
      <c r="W174" s="255"/>
      <c r="X174" s="255"/>
      <c r="Y174" s="255"/>
    </row>
    <row r="175" spans="2:27" ht="15.75" thickBot="1" x14ac:dyDescent="0.3">
      <c r="B175" s="7"/>
      <c r="C175" s="7"/>
      <c r="D175" s="7"/>
      <c r="E175" s="114"/>
      <c r="F175" s="7"/>
      <c r="G175" s="7"/>
      <c r="H175" s="7"/>
      <c r="I175" s="1598" t="s">
        <v>827</v>
      </c>
      <c r="J175" s="1598"/>
      <c r="K175" s="1598"/>
      <c r="L175" s="1598"/>
      <c r="M175" s="629" t="s">
        <v>251</v>
      </c>
      <c r="N175" s="1246">
        <v>0</v>
      </c>
      <c r="O175" s="1246">
        <v>0</v>
      </c>
      <c r="P175" s="1246">
        <v>0</v>
      </c>
      <c r="Q175" s="1249">
        <v>1</v>
      </c>
      <c r="R175" s="7"/>
      <c r="S175" s="7"/>
      <c r="T175" s="7"/>
      <c r="U175" s="100"/>
      <c r="V175" s="255"/>
      <c r="W175" s="255"/>
      <c r="X175" s="255"/>
      <c r="Y175" s="255"/>
    </row>
    <row r="176" spans="2:27" ht="15.75" thickBot="1" x14ac:dyDescent="0.3">
      <c r="B176" s="7"/>
      <c r="C176" s="7"/>
      <c r="D176" s="7"/>
      <c r="E176" s="114"/>
      <c r="F176" s="7"/>
      <c r="G176" s="7"/>
      <c r="H176" s="7"/>
      <c r="I176" s="360" t="s">
        <v>248</v>
      </c>
      <c r="J176" s="360" t="s">
        <v>249</v>
      </c>
      <c r="K176" s="360" t="s">
        <v>250</v>
      </c>
      <c r="L176" s="360" t="s">
        <v>251</v>
      </c>
      <c r="M176" s="17"/>
      <c r="N176" s="17"/>
      <c r="O176" s="17"/>
      <c r="P176" s="7"/>
      <c r="Q176" s="7"/>
      <c r="R176" s="7"/>
      <c r="S176" s="7"/>
      <c r="T176" s="7"/>
      <c r="U176" s="100"/>
      <c r="V176" s="255"/>
      <c r="W176" s="255"/>
      <c r="X176" s="255"/>
      <c r="Y176" s="255"/>
    </row>
    <row r="177" spans="2:25" x14ac:dyDescent="0.25">
      <c r="B177" s="7"/>
      <c r="C177" s="7"/>
      <c r="D177" s="7"/>
      <c r="E177" s="114"/>
      <c r="F177" s="7"/>
      <c r="G177" s="7"/>
      <c r="H177" s="21" t="s">
        <v>174</v>
      </c>
      <c r="I177" s="630">
        <f>SUMPRODUCT($N172:$Q172,$I$141:$L$141)</f>
        <v>1.068243004643695</v>
      </c>
      <c r="J177" s="631">
        <f>SUMPRODUCT($N173:$Q173,$I$141:$L$141)</f>
        <v>1.0682430046525013</v>
      </c>
      <c r="K177" s="631">
        <f>SUMPRODUCT($N174:$Q174,$I$141:$L$141)</f>
        <v>2.3014436290378857</v>
      </c>
      <c r="L177" s="632">
        <f>SUMPRODUCT($N175:$Q175,$I$141:$L$141)</f>
        <v>0</v>
      </c>
      <c r="M177" s="140" t="s">
        <v>837</v>
      </c>
      <c r="N177" s="17"/>
      <c r="O177" s="17"/>
      <c r="P177" s="7"/>
      <c r="Q177" s="7"/>
      <c r="R177" s="7"/>
      <c r="S177" s="7"/>
      <c r="T177" s="7"/>
      <c r="U177" s="100"/>
      <c r="V177" s="255"/>
      <c r="W177" s="255"/>
      <c r="X177" s="255"/>
      <c r="Y177" s="255"/>
    </row>
    <row r="178" spans="2:25" x14ac:dyDescent="0.25">
      <c r="B178" s="7"/>
      <c r="C178" s="7"/>
      <c r="D178" s="7"/>
      <c r="E178" s="114"/>
      <c r="F178" s="7"/>
      <c r="G178" s="7"/>
      <c r="H178" s="21" t="s">
        <v>173</v>
      </c>
      <c r="I178" s="633">
        <f>$V$36</f>
        <v>1.0682434104463567</v>
      </c>
      <c r="J178" s="253">
        <f>$V$36</f>
        <v>1.0682434104463567</v>
      </c>
      <c r="K178" s="253">
        <f>$V$36</f>
        <v>1.0682434104463567</v>
      </c>
      <c r="L178" s="634">
        <f>$V$36</f>
        <v>1.0682434104463567</v>
      </c>
      <c r="M178" s="140" t="s">
        <v>839</v>
      </c>
      <c r="N178" s="17"/>
      <c r="O178" s="17"/>
      <c r="P178" s="7"/>
      <c r="Q178" s="7"/>
      <c r="R178" s="7"/>
      <c r="S178" s="7"/>
      <c r="T178" s="7"/>
      <c r="U178" s="100"/>
      <c r="V178" s="255"/>
      <c r="W178" s="255"/>
      <c r="X178" s="255"/>
      <c r="Y178" s="255"/>
    </row>
    <row r="179" spans="2:25" x14ac:dyDescent="0.25">
      <c r="B179" s="7"/>
      <c r="C179" s="7"/>
      <c r="D179" s="7"/>
      <c r="E179" s="114"/>
      <c r="F179" s="7"/>
      <c r="G179" s="7"/>
      <c r="H179" s="21" t="s">
        <v>227</v>
      </c>
      <c r="I179" s="635">
        <f>(I177/I178)-1</f>
        <v>-3.7987846002174308E-7</v>
      </c>
      <c r="J179" s="19">
        <f>(J177/J178)-1</f>
        <v>-3.7987021628271833E-7</v>
      </c>
      <c r="K179" s="19">
        <f>(K177/K178)-1</f>
        <v>1.1544187462633131</v>
      </c>
      <c r="L179" s="636">
        <f>(L177/L178)-1</f>
        <v>-1</v>
      </c>
      <c r="M179" s="17"/>
      <c r="N179" s="17"/>
      <c r="O179" s="17"/>
      <c r="P179" s="7"/>
      <c r="Q179" s="7"/>
      <c r="R179" s="7"/>
      <c r="S179" s="7"/>
      <c r="T179" s="7"/>
      <c r="U179" s="100"/>
      <c r="V179" s="255"/>
      <c r="W179" s="255"/>
      <c r="X179" s="255"/>
      <c r="Y179" s="255"/>
    </row>
    <row r="180" spans="2:25" x14ac:dyDescent="0.25">
      <c r="B180" s="7"/>
      <c r="C180" s="7"/>
      <c r="D180" s="7"/>
      <c r="E180" s="114"/>
      <c r="F180" s="7"/>
      <c r="G180" s="7"/>
      <c r="H180" s="21" t="s">
        <v>253</v>
      </c>
      <c r="I180" s="633">
        <f>SUMPRODUCT($I$141:$L$141,$M$35:$P$35)</f>
        <v>1.0109053446756704</v>
      </c>
      <c r="J180" s="253">
        <f>SUMPRODUCT($I$141:$L$141,$M$35:$P$35)</f>
        <v>1.0109053446756704</v>
      </c>
      <c r="K180" s="253">
        <f>SUMPRODUCT($I$141:$L$141,$M$35:$P$35)</f>
        <v>1.0109053446756704</v>
      </c>
      <c r="L180" s="634">
        <f>SUMPRODUCT($I$141:$L$141,$M$35:$P$35)</f>
        <v>1.0109053446756704</v>
      </c>
      <c r="M180" s="140" t="s">
        <v>838</v>
      </c>
      <c r="N180" s="17"/>
      <c r="O180" s="7"/>
      <c r="P180" s="7"/>
      <c r="Q180" s="7"/>
      <c r="R180" s="7"/>
      <c r="S180" s="7"/>
      <c r="T180" s="7"/>
      <c r="U180" s="100"/>
      <c r="V180" s="7"/>
      <c r="W180" s="7"/>
      <c r="X180" s="7"/>
      <c r="Y180" s="7"/>
    </row>
    <row r="181" spans="2:25" ht="15.75" thickBot="1" x14ac:dyDescent="0.3">
      <c r="B181" s="7"/>
      <c r="C181" s="7"/>
      <c r="D181" s="7"/>
      <c r="E181" s="114"/>
      <c r="F181" s="7"/>
      <c r="G181" s="7"/>
      <c r="H181" s="142" t="s">
        <v>254</v>
      </c>
      <c r="I181" s="637">
        <f>(I177/I180)-1</f>
        <v>5.6719118431825422E-2</v>
      </c>
      <c r="J181" s="638">
        <f>(J177/J180)-1</f>
        <v>5.6719118440536676E-2</v>
      </c>
      <c r="K181" s="638">
        <f>(K177/K180)-1</f>
        <v>1.2766163431218773</v>
      </c>
      <c r="L181" s="639">
        <f>(L177/L180)-1</f>
        <v>-1</v>
      </c>
      <c r="M181" s="17"/>
      <c r="N181" s="17"/>
      <c r="O181" s="17"/>
      <c r="P181" s="7"/>
      <c r="Q181" s="7"/>
      <c r="R181" s="7"/>
      <c r="S181" s="7"/>
      <c r="T181" s="7"/>
      <c r="U181" s="100"/>
      <c r="V181" s="542"/>
      <c r="W181" s="54"/>
      <c r="X181" s="7"/>
      <c r="Y181" s="7"/>
    </row>
    <row r="182" spans="2:25" x14ac:dyDescent="0.25">
      <c r="B182" s="7"/>
      <c r="C182" s="7"/>
      <c r="D182" s="7"/>
      <c r="E182" s="114"/>
      <c r="F182" s="7"/>
      <c r="G182" s="7"/>
      <c r="H182" s="142"/>
      <c r="I182" s="1349" t="s">
        <v>840</v>
      </c>
      <c r="J182" s="1346"/>
      <c r="K182" s="1346"/>
      <c r="L182" s="1346"/>
      <c r="M182" s="17"/>
      <c r="N182" s="17"/>
      <c r="O182" s="17"/>
      <c r="P182" s="7"/>
      <c r="Q182" s="7"/>
      <c r="R182" s="7"/>
      <c r="S182" s="7"/>
      <c r="T182" s="7"/>
      <c r="U182" s="100"/>
      <c r="V182" s="542"/>
      <c r="W182" s="54"/>
      <c r="X182" s="7"/>
      <c r="Y182" s="7"/>
    </row>
    <row r="183" spans="2:25" x14ac:dyDescent="0.25">
      <c r="B183" s="7"/>
      <c r="C183" s="7"/>
      <c r="D183" s="7"/>
      <c r="E183" s="114"/>
      <c r="F183" s="245"/>
      <c r="G183" s="245"/>
      <c r="H183" s="1350"/>
      <c r="I183" s="1351"/>
      <c r="J183" s="1352"/>
      <c r="K183" s="1352"/>
      <c r="L183" s="1352"/>
      <c r="M183" s="257"/>
      <c r="N183" s="257"/>
      <c r="O183" s="257"/>
      <c r="P183" s="245"/>
      <c r="Q183" s="245"/>
      <c r="R183" s="245"/>
      <c r="S183" s="245"/>
      <c r="T183" s="245"/>
      <c r="U183" s="100"/>
      <c r="V183" s="542"/>
      <c r="W183" s="54"/>
      <c r="X183" s="7"/>
      <c r="Y183" s="7"/>
    </row>
    <row r="184" spans="2:25" x14ac:dyDescent="0.25">
      <c r="B184" s="7"/>
      <c r="C184" s="7"/>
      <c r="D184" s="7"/>
      <c r="E184" s="114"/>
      <c r="F184" s="7"/>
      <c r="G184" s="7"/>
      <c r="H184" s="142"/>
      <c r="I184" s="1349"/>
      <c r="J184" s="1346"/>
      <c r="K184" s="1346"/>
      <c r="L184" s="1346"/>
      <c r="M184" s="17"/>
      <c r="N184" s="17"/>
      <c r="O184" s="17"/>
      <c r="P184" s="7"/>
      <c r="Q184" s="7"/>
      <c r="R184" s="7"/>
      <c r="S184" s="7"/>
      <c r="T184" s="7"/>
      <c r="U184" s="100"/>
      <c r="V184" s="542"/>
      <c r="W184" s="54"/>
      <c r="X184" s="7"/>
      <c r="Y184" s="7"/>
    </row>
    <row r="185" spans="2:25" x14ac:dyDescent="0.25">
      <c r="B185" s="7"/>
      <c r="C185" s="7"/>
      <c r="D185" s="7"/>
      <c r="E185" s="114"/>
      <c r="F185" s="7" t="s">
        <v>851</v>
      </c>
      <c r="G185" s="7"/>
      <c r="H185" s="142"/>
      <c r="I185" s="1349"/>
      <c r="J185" s="1346"/>
      <c r="K185" s="1346"/>
      <c r="L185" s="1346"/>
      <c r="M185" s="17"/>
      <c r="N185" s="17"/>
      <c r="O185" s="17"/>
      <c r="P185" s="7"/>
      <c r="Q185" s="7"/>
      <c r="R185" s="7"/>
      <c r="S185" s="7"/>
      <c r="T185" s="7"/>
      <c r="U185" s="100"/>
      <c r="V185" s="542"/>
      <c r="W185" s="54"/>
      <c r="X185" s="7"/>
      <c r="Y185" s="7"/>
    </row>
    <row r="186" spans="2:25" x14ac:dyDescent="0.25">
      <c r="B186" s="7"/>
      <c r="C186" s="7"/>
      <c r="D186" s="7"/>
      <c r="E186" s="114"/>
      <c r="F186" s="7"/>
      <c r="G186" s="7"/>
      <c r="H186" s="142"/>
      <c r="I186" s="1349"/>
      <c r="J186" s="1346"/>
      <c r="K186" s="1346"/>
      <c r="L186" s="1346"/>
      <c r="M186" s="17"/>
      <c r="N186" s="17"/>
      <c r="O186" s="17"/>
      <c r="P186" s="7"/>
      <c r="Q186" s="7"/>
      <c r="R186" s="7"/>
      <c r="S186" s="7"/>
      <c r="T186" s="7"/>
      <c r="U186" s="100"/>
      <c r="V186" s="542"/>
      <c r="W186" s="54"/>
      <c r="X186" s="7"/>
      <c r="Y186" s="7"/>
    </row>
    <row r="187" spans="2:25" ht="15.75" thickBot="1" x14ac:dyDescent="0.3">
      <c r="B187" s="7"/>
      <c r="C187" s="7"/>
      <c r="D187" s="7"/>
      <c r="E187" s="114"/>
      <c r="F187" s="7"/>
      <c r="G187" s="7"/>
      <c r="H187" s="142"/>
      <c r="I187" s="1598" t="s">
        <v>827</v>
      </c>
      <c r="J187" s="1598"/>
      <c r="K187" s="1598"/>
      <c r="L187" s="1598"/>
      <c r="M187" s="17"/>
      <c r="N187" s="17"/>
      <c r="O187" s="17"/>
      <c r="P187" s="7"/>
      <c r="Q187" s="7"/>
      <c r="R187" s="7"/>
      <c r="S187" s="7"/>
      <c r="T187" s="7"/>
      <c r="U187" s="100"/>
      <c r="V187" s="542"/>
      <c r="W187" s="54"/>
      <c r="X187" s="7"/>
      <c r="Y187" s="7"/>
    </row>
    <row r="188" spans="2:25" x14ac:dyDescent="0.25">
      <c r="B188" s="7"/>
      <c r="C188" s="7"/>
      <c r="D188" s="7"/>
      <c r="E188" s="114"/>
      <c r="F188" s="7"/>
      <c r="G188" s="7"/>
      <c r="H188" s="7"/>
      <c r="I188" s="1353" t="s">
        <v>248</v>
      </c>
      <c r="J188" s="1354" t="s">
        <v>249</v>
      </c>
      <c r="K188" s="1355" t="s">
        <v>250</v>
      </c>
      <c r="L188" s="1356" t="s">
        <v>251</v>
      </c>
      <c r="M188" s="17"/>
      <c r="N188" s="17"/>
      <c r="O188" s="17"/>
      <c r="P188" s="7"/>
      <c r="Q188" s="7"/>
      <c r="R188" s="7"/>
      <c r="S188" s="7"/>
      <c r="T188" s="7"/>
      <c r="U188" s="100"/>
      <c r="V188" s="542"/>
      <c r="W188" s="54"/>
      <c r="X188" s="7"/>
      <c r="Y188" s="7"/>
    </row>
    <row r="189" spans="2:25" ht="15.75" thickBot="1" x14ac:dyDescent="0.3">
      <c r="B189" s="7"/>
      <c r="C189" s="7"/>
      <c r="D189" s="7"/>
      <c r="E189" s="114"/>
      <c r="F189" s="7"/>
      <c r="G189" s="7"/>
      <c r="H189" s="142" t="s">
        <v>254</v>
      </c>
      <c r="I189" s="1337">
        <f>I181</f>
        <v>5.6719118431825422E-2</v>
      </c>
      <c r="J189" s="1342">
        <f>J181</f>
        <v>5.6719118440536676E-2</v>
      </c>
      <c r="K189" s="1357">
        <f>K181</f>
        <v>1.2766163431218773</v>
      </c>
      <c r="L189" s="1358">
        <f>L181</f>
        <v>-1</v>
      </c>
      <c r="M189" s="17"/>
      <c r="N189" s="17"/>
      <c r="O189" s="17"/>
      <c r="P189" s="7"/>
      <c r="Q189" s="7"/>
      <c r="R189" s="7"/>
      <c r="S189" s="7"/>
      <c r="T189" s="7"/>
      <c r="U189" s="100"/>
      <c r="V189" s="542"/>
      <c r="W189" s="54"/>
      <c r="X189" s="7"/>
      <c r="Y189" s="7"/>
    </row>
    <row r="190" spans="2:25" x14ac:dyDescent="0.25">
      <c r="B190" s="7"/>
      <c r="C190" s="7"/>
      <c r="D190" s="7"/>
      <c r="E190" s="114"/>
      <c r="F190" s="7"/>
      <c r="G190" s="7"/>
      <c r="H190" s="21"/>
      <c r="I190" s="253"/>
      <c r="J190" s="253"/>
      <c r="K190" s="253"/>
      <c r="L190" s="253"/>
      <c r="M190" s="17"/>
      <c r="N190" s="17"/>
      <c r="O190" s="17"/>
      <c r="P190" s="7"/>
      <c r="Q190" s="7"/>
      <c r="R190" s="7"/>
      <c r="S190" s="7"/>
      <c r="T190" s="7"/>
      <c r="U190" s="100"/>
      <c r="V190" s="542"/>
      <c r="W190" s="54"/>
      <c r="X190" s="7"/>
      <c r="Y190" s="7"/>
    </row>
    <row r="191" spans="2:25" x14ac:dyDescent="0.25">
      <c r="B191" s="7"/>
      <c r="C191" s="7"/>
      <c r="D191" s="7"/>
      <c r="E191" s="114"/>
      <c r="F191" s="7"/>
      <c r="G191" s="7"/>
      <c r="H191" s="189" t="s">
        <v>854</v>
      </c>
      <c r="I191" s="19"/>
      <c r="J191" s="19"/>
      <c r="K191" s="19"/>
      <c r="L191" s="19"/>
      <c r="M191" s="17"/>
      <c r="N191" s="17"/>
      <c r="O191" s="17"/>
      <c r="P191" s="7"/>
      <c r="Q191" s="7"/>
      <c r="R191" s="7"/>
      <c r="S191" s="7"/>
      <c r="T191" s="7"/>
      <c r="U191" s="100"/>
      <c r="V191" s="542"/>
      <c r="W191" s="54"/>
      <c r="X191" s="7"/>
      <c r="Y191" s="7"/>
    </row>
    <row r="192" spans="2:25" x14ac:dyDescent="0.25">
      <c r="B192" s="7"/>
      <c r="C192" s="7"/>
      <c r="D192" s="7"/>
      <c r="E192" s="114"/>
      <c r="F192" s="7"/>
      <c r="G192" s="7"/>
      <c r="H192" s="647" t="s">
        <v>855</v>
      </c>
      <c r="I192" s="1349"/>
      <c r="J192" s="1346"/>
      <c r="K192" s="1346"/>
      <c r="L192" s="1346"/>
      <c r="M192" s="17"/>
      <c r="N192" s="17"/>
      <c r="O192" s="17"/>
      <c r="P192" s="7"/>
      <c r="Q192" s="7"/>
      <c r="R192" s="7"/>
      <c r="S192" s="7"/>
      <c r="T192" s="7"/>
      <c r="U192" s="100"/>
      <c r="V192" s="542"/>
      <c r="W192" s="54"/>
      <c r="X192" s="7"/>
      <c r="Y192" s="7"/>
    </row>
    <row r="193" spans="2:25" ht="15" customHeight="1" x14ac:dyDescent="0.25">
      <c r="B193" s="7"/>
      <c r="C193" s="7"/>
      <c r="D193" s="7"/>
      <c r="E193" s="114"/>
      <c r="F193" s="7"/>
      <c r="G193" s="7"/>
      <c r="H193" s="7"/>
      <c r="I193" s="7"/>
      <c r="J193" s="17"/>
      <c r="K193" s="17"/>
      <c r="L193" s="17"/>
      <c r="M193" s="17"/>
      <c r="N193" s="17"/>
      <c r="O193" s="17"/>
      <c r="P193" s="7"/>
      <c r="Q193" s="7"/>
      <c r="R193" s="7"/>
      <c r="S193" s="7"/>
      <c r="T193" s="7"/>
      <c r="U193" s="100"/>
      <c r="V193" s="7"/>
      <c r="W193" s="7"/>
      <c r="X193" s="7"/>
      <c r="Y193" s="7"/>
    </row>
    <row r="194" spans="2:25" x14ac:dyDescent="0.25">
      <c r="E194" s="114"/>
      <c r="F194" s="7"/>
      <c r="G194" s="7"/>
      <c r="H194" s="7" t="s">
        <v>856</v>
      </c>
      <c r="I194" s="17"/>
      <c r="J194" s="17"/>
      <c r="K194" s="17"/>
      <c r="L194" s="17"/>
      <c r="M194" s="17"/>
      <c r="N194" s="17"/>
      <c r="O194" s="7"/>
      <c r="P194" s="7"/>
      <c r="Q194" s="7"/>
      <c r="R194" s="7"/>
      <c r="S194" s="7"/>
      <c r="T194" s="7"/>
      <c r="U194" s="100"/>
    </row>
    <row r="195" spans="2:25" x14ac:dyDescent="0.25">
      <c r="E195" s="114"/>
      <c r="F195" s="7"/>
      <c r="G195" s="7"/>
      <c r="H195" s="7" t="s">
        <v>857</v>
      </c>
      <c r="I195" s="17"/>
      <c r="J195" s="17"/>
      <c r="K195" s="17"/>
      <c r="L195" s="17"/>
      <c r="M195" s="17"/>
      <c r="N195" s="17"/>
      <c r="O195" s="7"/>
      <c r="P195" s="7"/>
      <c r="Q195" s="7"/>
      <c r="R195" s="7"/>
      <c r="S195" s="7"/>
      <c r="T195" s="7"/>
      <c r="U195" s="100"/>
    </row>
    <row r="196" spans="2:25" ht="15.75" thickBot="1" x14ac:dyDescent="0.3">
      <c r="E196" s="119"/>
      <c r="F196" s="166"/>
      <c r="G196" s="166"/>
      <c r="H196" s="166"/>
      <c r="I196" s="252"/>
      <c r="J196" s="252"/>
      <c r="K196" s="252"/>
      <c r="L196" s="252"/>
      <c r="M196" s="252"/>
      <c r="N196" s="252"/>
      <c r="O196" s="166"/>
      <c r="P196" s="166"/>
      <c r="Q196" s="166"/>
      <c r="R196" s="166"/>
      <c r="S196" s="166"/>
      <c r="T196" s="166"/>
      <c r="U196" s="102"/>
    </row>
    <row r="201" spans="2:25" ht="23.25" x14ac:dyDescent="0.35">
      <c r="B201" s="1522" t="s">
        <v>1182</v>
      </c>
    </row>
    <row r="203" spans="2:25" x14ac:dyDescent="0.25">
      <c r="C203" s="1521" t="s">
        <v>742</v>
      </c>
    </row>
    <row r="205" spans="2:25" x14ac:dyDescent="0.25">
      <c r="C205" t="s">
        <v>1199</v>
      </c>
    </row>
    <row r="206" spans="2:25" x14ac:dyDescent="0.25">
      <c r="C206" t="s">
        <v>1200</v>
      </c>
    </row>
    <row r="208" spans="2:25" x14ac:dyDescent="0.25">
      <c r="C208" s="84"/>
      <c r="D208" s="84" t="s">
        <v>1183</v>
      </c>
      <c r="E208" s="84" t="s">
        <v>1184</v>
      </c>
      <c r="F208" s="84" t="s">
        <v>1185</v>
      </c>
      <c r="G208" s="84" t="s">
        <v>1186</v>
      </c>
    </row>
    <row r="209" spans="3:9" x14ac:dyDescent="0.25">
      <c r="C209" s="84" t="s">
        <v>1188</v>
      </c>
      <c r="D209" s="84" t="s">
        <v>50</v>
      </c>
      <c r="E209" s="84" t="s">
        <v>52</v>
      </c>
      <c r="F209" s="84" t="s">
        <v>1195</v>
      </c>
      <c r="G209" s="84" t="s">
        <v>1197</v>
      </c>
    </row>
    <row r="210" spans="3:9" x14ac:dyDescent="0.25">
      <c r="C210" s="84" t="s">
        <v>1187</v>
      </c>
      <c r="D210" s="84" t="s">
        <v>51</v>
      </c>
      <c r="E210" s="84" t="s">
        <v>53</v>
      </c>
      <c r="F210" s="84" t="s">
        <v>1196</v>
      </c>
      <c r="G210" s="84" t="s">
        <v>1198</v>
      </c>
    </row>
    <row r="212" spans="3:9" x14ac:dyDescent="0.25">
      <c r="C212" t="s">
        <v>1201</v>
      </c>
    </row>
    <row r="214" spans="3:9" x14ac:dyDescent="0.25">
      <c r="C214" s="84"/>
      <c r="D214" s="84" t="s">
        <v>1183</v>
      </c>
      <c r="E214" s="84" t="s">
        <v>1184</v>
      </c>
      <c r="F214" s="84" t="s">
        <v>1185</v>
      </c>
      <c r="G214" s="84" t="s">
        <v>1186</v>
      </c>
    </row>
    <row r="215" spans="3:9" x14ac:dyDescent="0.25">
      <c r="C215" s="84" t="s">
        <v>1188</v>
      </c>
      <c r="D215" s="723">
        <v>0.05</v>
      </c>
      <c r="E215" s="723">
        <v>0.02</v>
      </c>
      <c r="F215" s="723">
        <v>0.05</v>
      </c>
      <c r="G215" s="723">
        <v>0.05</v>
      </c>
    </row>
    <row r="216" spans="3:9" x14ac:dyDescent="0.25">
      <c r="C216" s="84" t="s">
        <v>1187</v>
      </c>
      <c r="D216" s="723">
        <v>0.1</v>
      </c>
      <c r="E216" s="723">
        <v>0.08</v>
      </c>
      <c r="F216" s="723">
        <v>0.15</v>
      </c>
      <c r="G216" s="723">
        <v>0.5</v>
      </c>
    </row>
    <row r="218" spans="3:9" x14ac:dyDescent="0.25">
      <c r="C218" s="1521" t="s">
        <v>1189</v>
      </c>
    </row>
    <row r="220" spans="3:9" x14ac:dyDescent="0.25">
      <c r="C220" t="s">
        <v>1190</v>
      </c>
    </row>
    <row r="222" spans="3:9" x14ac:dyDescent="0.25">
      <c r="D222" s="84" t="s">
        <v>1183</v>
      </c>
      <c r="E222" s="84" t="s">
        <v>1184</v>
      </c>
      <c r="F222" s="84" t="s">
        <v>1185</v>
      </c>
      <c r="G222" s="84" t="s">
        <v>1186</v>
      </c>
    </row>
    <row r="223" spans="3:9" x14ac:dyDescent="0.25">
      <c r="C223" s="84" t="s">
        <v>1188</v>
      </c>
      <c r="D223" s="84">
        <v>1</v>
      </c>
      <c r="E223" s="84">
        <v>1</v>
      </c>
      <c r="F223" s="84">
        <v>1</v>
      </c>
      <c r="G223" s="84">
        <v>1</v>
      </c>
      <c r="I223" s="26" t="s">
        <v>1191</v>
      </c>
    </row>
    <row r="224" spans="3:9" x14ac:dyDescent="0.25">
      <c r="C224" s="84" t="s">
        <v>1187</v>
      </c>
      <c r="D224" s="84">
        <v>1</v>
      </c>
      <c r="E224" s="84">
        <v>1</v>
      </c>
      <c r="F224" s="84">
        <v>1</v>
      </c>
      <c r="G224" s="84">
        <v>1</v>
      </c>
      <c r="I224" s="1512">
        <f>SUMPRODUCT(D215:G216,D223:G224)</f>
        <v>1</v>
      </c>
    </row>
    <row r="225" spans="3:9" x14ac:dyDescent="0.25">
      <c r="C225" s="84"/>
      <c r="D225" s="84"/>
      <c r="E225" s="84"/>
      <c r="F225" s="84"/>
      <c r="G225" s="84"/>
      <c r="I225" s="1512"/>
    </row>
    <row r="226" spans="3:9" x14ac:dyDescent="0.25">
      <c r="C226" t="s">
        <v>1202</v>
      </c>
      <c r="D226" s="84"/>
      <c r="E226" s="84"/>
      <c r="F226" s="84"/>
      <c r="G226" s="84"/>
      <c r="I226" s="1512"/>
    </row>
    <row r="228" spans="3:9" x14ac:dyDescent="0.25">
      <c r="C228" s="1521" t="s">
        <v>1189</v>
      </c>
    </row>
    <row r="230" spans="3:9" x14ac:dyDescent="0.25">
      <c r="C230" t="s">
        <v>1203</v>
      </c>
    </row>
    <row r="232" spans="3:9" x14ac:dyDescent="0.25">
      <c r="C232" t="s">
        <v>1193</v>
      </c>
    </row>
    <row r="234" spans="3:9" x14ac:dyDescent="0.25">
      <c r="D234" s="84" t="s">
        <v>1183</v>
      </c>
      <c r="E234" s="84" t="s">
        <v>1184</v>
      </c>
      <c r="F234" s="84" t="s">
        <v>1185</v>
      </c>
      <c r="G234" s="84" t="s">
        <v>1186</v>
      </c>
    </row>
    <row r="235" spans="3:9" x14ac:dyDescent="0.25">
      <c r="C235" s="84" t="s">
        <v>1188</v>
      </c>
      <c r="D235" s="84">
        <v>1</v>
      </c>
      <c r="E235" s="84">
        <v>1</v>
      </c>
      <c r="F235" s="84" t="s">
        <v>1192</v>
      </c>
      <c r="G235" s="84">
        <v>1</v>
      </c>
    </row>
    <row r="236" spans="3:9" x14ac:dyDescent="0.25">
      <c r="C236" s="84" t="s">
        <v>1187</v>
      </c>
      <c r="D236" s="84">
        <v>1</v>
      </c>
      <c r="E236" s="84">
        <v>1</v>
      </c>
      <c r="F236" s="84">
        <v>0</v>
      </c>
      <c r="G236" s="84">
        <v>1</v>
      </c>
    </row>
    <row r="238" spans="3:9" x14ac:dyDescent="0.25">
      <c r="C238" t="s">
        <v>1194</v>
      </c>
    </row>
    <row r="239" spans="3:9" x14ac:dyDescent="0.25">
      <c r="C239" t="s">
        <v>1245</v>
      </c>
    </row>
    <row r="240" spans="3:9" x14ac:dyDescent="0.25">
      <c r="D240" s="84"/>
      <c r="E240" s="84"/>
      <c r="F240" s="84"/>
      <c r="G240" s="84"/>
    </row>
    <row r="241" spans="3:7" x14ac:dyDescent="0.25">
      <c r="C241" s="26" t="s">
        <v>1246</v>
      </c>
      <c r="D241" s="84"/>
      <c r="E241" s="84"/>
      <c r="F241" s="84"/>
      <c r="G241" s="84"/>
    </row>
    <row r="242" spans="3:7" x14ac:dyDescent="0.25">
      <c r="C242" s="84"/>
      <c r="D242" s="84"/>
      <c r="E242" s="84"/>
      <c r="F242" s="84"/>
      <c r="G242" s="84"/>
    </row>
    <row r="243" spans="3:7" x14ac:dyDescent="0.25">
      <c r="D243" s="84" t="s">
        <v>1183</v>
      </c>
      <c r="E243" s="84" t="s">
        <v>1184</v>
      </c>
      <c r="F243" s="84" t="s">
        <v>1185</v>
      </c>
      <c r="G243" s="84" t="s">
        <v>1186</v>
      </c>
    </row>
    <row r="244" spans="3:7" x14ac:dyDescent="0.25">
      <c r="C244" s="84" t="s">
        <v>1188</v>
      </c>
      <c r="D244" s="1515" t="s">
        <v>1204</v>
      </c>
      <c r="E244" s="1515" t="s">
        <v>1204</v>
      </c>
      <c r="F244" s="1513" t="s">
        <v>4</v>
      </c>
      <c r="G244" s="1515" t="s">
        <v>1204</v>
      </c>
    </row>
    <row r="245" spans="3:7" x14ac:dyDescent="0.25">
      <c r="C245" s="84" t="s">
        <v>1187</v>
      </c>
      <c r="D245" s="1515" t="s">
        <v>1204</v>
      </c>
      <c r="E245" s="1515" t="s">
        <v>1204</v>
      </c>
      <c r="F245" s="1514" t="s">
        <v>5</v>
      </c>
      <c r="G245" s="1515" t="s">
        <v>1204</v>
      </c>
    </row>
    <row r="247" spans="3:7" x14ac:dyDescent="0.25">
      <c r="C247" t="s">
        <v>1205</v>
      </c>
    </row>
    <row r="249" spans="3:7" x14ac:dyDescent="0.25">
      <c r="D249" s="1521" t="s">
        <v>1230</v>
      </c>
    </row>
    <row r="250" spans="3:7" x14ac:dyDescent="0.25">
      <c r="D250" s="1521"/>
    </row>
    <row r="251" spans="3:7" x14ac:dyDescent="0.25">
      <c r="C251" s="1521" t="s">
        <v>1214</v>
      </c>
      <c r="D251" s="1521"/>
    </row>
    <row r="253" spans="3:7" x14ac:dyDescent="0.25">
      <c r="C253" t="s">
        <v>1210</v>
      </c>
    </row>
    <row r="255" spans="3:7" x14ac:dyDescent="0.25">
      <c r="D255" s="84" t="s">
        <v>1183</v>
      </c>
      <c r="E255" s="84" t="s">
        <v>1184</v>
      </c>
      <c r="F255" s="84" t="s">
        <v>1185</v>
      </c>
      <c r="G255" s="84" t="s">
        <v>1186</v>
      </c>
    </row>
    <row r="256" spans="3:7" x14ac:dyDescent="0.25">
      <c r="C256" s="84" t="s">
        <v>1188</v>
      </c>
      <c r="D256" s="1515" t="s">
        <v>1204</v>
      </c>
      <c r="E256" s="1515" t="s">
        <v>1204</v>
      </c>
      <c r="F256" s="1513" t="s">
        <v>4</v>
      </c>
      <c r="G256" s="1515" t="s">
        <v>1204</v>
      </c>
    </row>
    <row r="257" spans="3:7" x14ac:dyDescent="0.25">
      <c r="C257" s="84" t="s">
        <v>1187</v>
      </c>
      <c r="D257" s="1515" t="s">
        <v>1204</v>
      </c>
      <c r="E257" s="1515" t="s">
        <v>1204</v>
      </c>
      <c r="F257" s="1514" t="s">
        <v>5</v>
      </c>
      <c r="G257" s="1515" t="s">
        <v>1204</v>
      </c>
    </row>
    <row r="259" spans="3:7" x14ac:dyDescent="0.25">
      <c r="C259" t="s">
        <v>1206</v>
      </c>
    </row>
    <row r="260" spans="3:7" x14ac:dyDescent="0.25">
      <c r="C260" t="s">
        <v>1207</v>
      </c>
    </row>
    <row r="261" spans="3:7" x14ac:dyDescent="0.25">
      <c r="C261" t="s">
        <v>1208</v>
      </c>
    </row>
    <row r="262" spans="3:7" x14ac:dyDescent="0.25">
      <c r="C262" t="s">
        <v>1209</v>
      </c>
    </row>
    <row r="264" spans="3:7" x14ac:dyDescent="0.25">
      <c r="C264" s="1521" t="s">
        <v>1221</v>
      </c>
    </row>
    <row r="266" spans="3:7" x14ac:dyDescent="0.25">
      <c r="C266" t="s">
        <v>1222</v>
      </c>
    </row>
    <row r="268" spans="3:7" x14ac:dyDescent="0.25">
      <c r="D268" s="84" t="s">
        <v>1183</v>
      </c>
      <c r="E268" s="84" t="s">
        <v>1184</v>
      </c>
      <c r="F268" s="84" t="s">
        <v>1185</v>
      </c>
      <c r="G268" s="84" t="s">
        <v>1186</v>
      </c>
    </row>
    <row r="269" spans="3:7" x14ac:dyDescent="0.25">
      <c r="C269" s="84" t="s">
        <v>1188</v>
      </c>
      <c r="D269" s="1515" t="s">
        <v>1204</v>
      </c>
      <c r="E269" s="1515" t="s">
        <v>1204</v>
      </c>
      <c r="F269" s="1513" t="s">
        <v>4</v>
      </c>
      <c r="G269" s="1515" t="s">
        <v>1204</v>
      </c>
    </row>
    <row r="270" spans="3:7" x14ac:dyDescent="0.25">
      <c r="C270" s="84" t="s">
        <v>1187</v>
      </c>
      <c r="D270" s="1515" t="s">
        <v>1204</v>
      </c>
      <c r="E270" s="1515" t="s">
        <v>1204</v>
      </c>
      <c r="F270" s="1514" t="s">
        <v>5</v>
      </c>
      <c r="G270" s="1515" t="s">
        <v>1204</v>
      </c>
    </row>
    <row r="272" spans="3:7" x14ac:dyDescent="0.25">
      <c r="C272" t="s">
        <v>1211</v>
      </c>
    </row>
    <row r="274" spans="3:8" x14ac:dyDescent="0.25">
      <c r="C274" s="84"/>
      <c r="D274" s="84" t="s">
        <v>1183</v>
      </c>
      <c r="E274" s="84" t="s">
        <v>1184</v>
      </c>
      <c r="F274" s="84" t="s">
        <v>1185</v>
      </c>
      <c r="G274" s="84" t="s">
        <v>1186</v>
      </c>
    </row>
    <row r="275" spans="3:8" x14ac:dyDescent="0.25">
      <c r="C275" s="84" t="s">
        <v>1188</v>
      </c>
      <c r="D275" s="668">
        <v>0.05</v>
      </c>
      <c r="E275" s="668">
        <v>0.02</v>
      </c>
      <c r="F275" s="668">
        <v>0.05</v>
      </c>
      <c r="G275" s="669">
        <v>0.05</v>
      </c>
      <c r="H275" s="723">
        <f>SUM(D275:G275)</f>
        <v>0.17</v>
      </c>
    </row>
    <row r="276" spans="3:8" x14ac:dyDescent="0.25">
      <c r="C276" s="84" t="s">
        <v>1187</v>
      </c>
      <c r="D276" s="679">
        <v>0.1</v>
      </c>
      <c r="E276" s="679">
        <v>0.08</v>
      </c>
      <c r="F276" s="679">
        <v>0.15</v>
      </c>
      <c r="G276" s="680">
        <v>0.5</v>
      </c>
      <c r="H276" s="723">
        <f>SUM(D276:G276)</f>
        <v>0.83</v>
      </c>
    </row>
    <row r="277" spans="3:8" x14ac:dyDescent="0.25">
      <c r="D277" s="723">
        <f>SUM(D275:D276)</f>
        <v>0.15000000000000002</v>
      </c>
      <c r="E277" s="723">
        <f t="shared" ref="E277:G277" si="7">SUM(E275:E276)</f>
        <v>0.1</v>
      </c>
      <c r="F277" s="723">
        <f t="shared" si="7"/>
        <v>0.2</v>
      </c>
      <c r="G277" s="723">
        <f t="shared" si="7"/>
        <v>0.55000000000000004</v>
      </c>
      <c r="H277" s="84"/>
    </row>
    <row r="279" spans="3:8" x14ac:dyDescent="0.25">
      <c r="C279" t="s">
        <v>1212</v>
      </c>
    </row>
    <row r="281" spans="3:8" x14ac:dyDescent="0.25">
      <c r="C281" s="84"/>
      <c r="D281" s="84" t="s">
        <v>1183</v>
      </c>
      <c r="E281" s="84" t="s">
        <v>1184</v>
      </c>
      <c r="F281" s="84" t="s">
        <v>1185</v>
      </c>
      <c r="G281" s="84" t="s">
        <v>1186</v>
      </c>
    </row>
    <row r="282" spans="3:8" x14ac:dyDescent="0.25">
      <c r="C282" s="84" t="s">
        <v>1188</v>
      </c>
      <c r="D282" s="1516">
        <v>0</v>
      </c>
      <c r="E282" s="1516">
        <v>0</v>
      </c>
      <c r="F282" s="668">
        <v>0.05</v>
      </c>
      <c r="G282" s="1519">
        <v>0</v>
      </c>
      <c r="H282" s="723">
        <f>SUM(D282:G282)</f>
        <v>0.05</v>
      </c>
    </row>
    <row r="283" spans="3:8" x14ac:dyDescent="0.25">
      <c r="C283" s="84" t="s">
        <v>1187</v>
      </c>
      <c r="D283" s="1517">
        <v>0</v>
      </c>
      <c r="E283" s="1517">
        <v>0</v>
      </c>
      <c r="F283" s="679">
        <v>0.15</v>
      </c>
      <c r="G283" s="1520">
        <v>0</v>
      </c>
      <c r="H283" s="723">
        <f>SUM(D283:G283)</f>
        <v>0.15</v>
      </c>
    </row>
    <row r="284" spans="3:8" x14ac:dyDescent="0.25">
      <c r="D284" s="1518">
        <f>SUM(D282:D283)</f>
        <v>0</v>
      </c>
      <c r="E284" s="1518">
        <f t="shared" ref="E284" si="8">SUM(E282:E283)</f>
        <v>0</v>
      </c>
      <c r="F284" s="723">
        <f t="shared" ref="F284" si="9">SUM(F282:F283)</f>
        <v>0.2</v>
      </c>
      <c r="G284" s="1518">
        <f t="shared" ref="G284" si="10">SUM(G282:G283)</f>
        <v>0</v>
      </c>
      <c r="H284" s="84"/>
    </row>
    <row r="286" spans="3:8" x14ac:dyDescent="0.25">
      <c r="C286" t="s">
        <v>1213</v>
      </c>
    </row>
    <row r="288" spans="3:8" x14ac:dyDescent="0.25">
      <c r="C288" s="84"/>
      <c r="D288" s="84" t="s">
        <v>1183</v>
      </c>
      <c r="E288" s="84" t="s">
        <v>1184</v>
      </c>
      <c r="F288" s="84" t="s">
        <v>1185</v>
      </c>
      <c r="G288" s="84" t="s">
        <v>1186</v>
      </c>
    </row>
    <row r="289" spans="3:8" x14ac:dyDescent="0.25">
      <c r="C289" s="84" t="s">
        <v>1188</v>
      </c>
      <c r="D289" s="1516">
        <v>0</v>
      </c>
      <c r="E289" s="1516">
        <v>0</v>
      </c>
      <c r="F289" s="668">
        <f>F282/F284</f>
        <v>0.25</v>
      </c>
      <c r="G289" s="1519">
        <v>0</v>
      </c>
      <c r="H289" s="723">
        <f>SUM(D289:G289)</f>
        <v>0.25</v>
      </c>
    </row>
    <row r="290" spans="3:8" x14ac:dyDescent="0.25">
      <c r="C290" s="84" t="s">
        <v>1187</v>
      </c>
      <c r="D290" s="1517">
        <v>0</v>
      </c>
      <c r="E290" s="1517">
        <v>0</v>
      </c>
      <c r="F290" s="679">
        <f>F283/F284</f>
        <v>0.74999999999999989</v>
      </c>
      <c r="G290" s="1520">
        <v>0</v>
      </c>
      <c r="H290" s="723">
        <f>SUM(D290:G290)</f>
        <v>0.74999999999999989</v>
      </c>
    </row>
    <row r="291" spans="3:8" x14ac:dyDescent="0.25">
      <c r="D291" s="1518">
        <f>SUM(D289:D290)</f>
        <v>0</v>
      </c>
      <c r="E291" s="1518">
        <f t="shared" ref="E291" si="11">SUM(E289:E290)</f>
        <v>0</v>
      </c>
      <c r="F291" s="723">
        <f t="shared" ref="F291" si="12">SUM(F289:F290)</f>
        <v>0.99999999999999989</v>
      </c>
      <c r="G291" s="1518">
        <f t="shared" ref="G291" si="13">SUM(G289:G290)</f>
        <v>0</v>
      </c>
      <c r="H291" s="84"/>
    </row>
    <row r="293" spans="3:8" x14ac:dyDescent="0.25">
      <c r="C293" t="s">
        <v>1215</v>
      </c>
    </row>
    <row r="294" spans="3:8" x14ac:dyDescent="0.25">
      <c r="C294" t="s">
        <v>1216</v>
      </c>
    </row>
    <row r="296" spans="3:8" x14ac:dyDescent="0.25">
      <c r="D296" s="1521" t="s">
        <v>1217</v>
      </c>
    </row>
    <row r="298" spans="3:8" x14ac:dyDescent="0.25">
      <c r="C298" t="s">
        <v>1218</v>
      </c>
    </row>
    <row r="304" spans="3:8" x14ac:dyDescent="0.25">
      <c r="C304" t="s">
        <v>1219</v>
      </c>
    </row>
    <row r="306" spans="2:9" x14ac:dyDescent="0.25">
      <c r="C306" s="1521" t="s">
        <v>1220</v>
      </c>
    </row>
    <row r="308" spans="2:9" x14ac:dyDescent="0.25">
      <c r="C308" t="s">
        <v>1223</v>
      </c>
    </row>
    <row r="310" spans="2:9" x14ac:dyDescent="0.25">
      <c r="C310" t="s">
        <v>1224</v>
      </c>
    </row>
    <row r="312" spans="2:9" x14ac:dyDescent="0.25">
      <c r="C312" s="1"/>
      <c r="D312" s="1510" t="s">
        <v>1183</v>
      </c>
      <c r="E312" s="1510" t="s">
        <v>1184</v>
      </c>
      <c r="F312" s="1510" t="s">
        <v>1185</v>
      </c>
      <c r="G312" s="1508" t="s">
        <v>1186</v>
      </c>
    </row>
    <row r="313" spans="2:9" x14ac:dyDescent="0.25">
      <c r="B313" s="84" t="s">
        <v>12</v>
      </c>
      <c r="C313" s="1504" t="s">
        <v>1188</v>
      </c>
      <c r="D313" s="1506">
        <v>1</v>
      </c>
      <c r="E313" s="1506">
        <v>1</v>
      </c>
      <c r="F313" s="1506">
        <f>1+3</f>
        <v>4</v>
      </c>
      <c r="G313" s="1505">
        <v>1</v>
      </c>
    </row>
    <row r="314" spans="2:9" x14ac:dyDescent="0.25">
      <c r="C314" s="1029" t="s">
        <v>1187</v>
      </c>
      <c r="D314" s="1509">
        <v>1</v>
      </c>
      <c r="E314" s="1509">
        <v>1</v>
      </c>
      <c r="F314" s="1509">
        <v>0</v>
      </c>
      <c r="G314" s="1078">
        <v>1</v>
      </c>
    </row>
    <row r="316" spans="2:9" x14ac:dyDescent="0.25">
      <c r="C316" s="1507"/>
      <c r="D316" s="1510" t="s">
        <v>1183</v>
      </c>
      <c r="E316" s="1510" t="s">
        <v>1184</v>
      </c>
      <c r="F316" s="1510" t="s">
        <v>1185</v>
      </c>
      <c r="G316" s="1508" t="s">
        <v>1186</v>
      </c>
    </row>
    <row r="317" spans="2:9" x14ac:dyDescent="0.25">
      <c r="B317" s="723" t="s">
        <v>749</v>
      </c>
      <c r="C317" s="1504" t="s">
        <v>1188</v>
      </c>
      <c r="D317" s="1516">
        <v>0</v>
      </c>
      <c r="E317" s="1516">
        <v>0</v>
      </c>
      <c r="F317" s="668">
        <v>0.23</v>
      </c>
      <c r="G317" s="1519">
        <v>0</v>
      </c>
      <c r="I317" s="84" t="s">
        <v>1239</v>
      </c>
    </row>
    <row r="318" spans="2:9" x14ac:dyDescent="0.25">
      <c r="C318" s="1029" t="s">
        <v>1187</v>
      </c>
      <c r="D318" s="1517">
        <v>0</v>
      </c>
      <c r="E318" s="1517">
        <v>0</v>
      </c>
      <c r="F318" s="679">
        <f>1-F317</f>
        <v>0.77</v>
      </c>
      <c r="G318" s="1520">
        <v>0</v>
      </c>
      <c r="H318" s="723"/>
      <c r="I318" s="84">
        <f>SUMPRODUCT(D313:G314,D317:G318)</f>
        <v>0.92</v>
      </c>
    </row>
    <row r="319" spans="2:9" x14ac:dyDescent="0.25">
      <c r="D319" s="1518"/>
      <c r="E319" s="1518"/>
      <c r="F319" s="723"/>
      <c r="G319" s="1518"/>
      <c r="H319" s="84"/>
    </row>
    <row r="320" spans="2:9" x14ac:dyDescent="0.25">
      <c r="C320" t="s">
        <v>1225</v>
      </c>
    </row>
    <row r="321" spans="2:15" x14ac:dyDescent="0.25">
      <c r="C321" s="647" t="s">
        <v>1226</v>
      </c>
    </row>
    <row r="322" spans="2:15" x14ac:dyDescent="0.25">
      <c r="C322" t="s">
        <v>1227</v>
      </c>
    </row>
    <row r="324" spans="2:15" x14ac:dyDescent="0.25">
      <c r="C324" s="1"/>
      <c r="D324" s="1510" t="s">
        <v>1183</v>
      </c>
      <c r="E324" s="1510" t="s">
        <v>1184</v>
      </c>
      <c r="F324" s="1510" t="s">
        <v>1185</v>
      </c>
      <c r="G324" s="1508" t="s">
        <v>1186</v>
      </c>
    </row>
    <row r="325" spans="2:15" x14ac:dyDescent="0.25">
      <c r="B325" s="84" t="s">
        <v>12</v>
      </c>
      <c r="C325" s="1504" t="s">
        <v>1188</v>
      </c>
      <c r="D325" s="1506">
        <v>1</v>
      </c>
      <c r="E325" s="1506">
        <v>1</v>
      </c>
      <c r="F325" s="1506">
        <f>1+3</f>
        <v>4</v>
      </c>
      <c r="G325" s="1505">
        <v>1</v>
      </c>
    </row>
    <row r="326" spans="2:15" x14ac:dyDescent="0.25">
      <c r="C326" s="1029" t="s">
        <v>1187</v>
      </c>
      <c r="D326" s="1509">
        <v>1</v>
      </c>
      <c r="E326" s="1509">
        <v>1</v>
      </c>
      <c r="F326" s="1509">
        <v>0</v>
      </c>
      <c r="G326" s="1078">
        <v>1</v>
      </c>
    </row>
    <row r="328" spans="2:15" x14ac:dyDescent="0.25">
      <c r="C328" s="1507"/>
      <c r="D328" s="1510" t="s">
        <v>1183</v>
      </c>
      <c r="E328" s="1510" t="s">
        <v>1184</v>
      </c>
      <c r="F328" s="1510" t="s">
        <v>1185</v>
      </c>
      <c r="G328" s="1508" t="s">
        <v>1186</v>
      </c>
    </row>
    <row r="329" spans="2:15" x14ac:dyDescent="0.25">
      <c r="B329" s="723" t="s">
        <v>749</v>
      </c>
      <c r="C329" s="1504" t="s">
        <v>1188</v>
      </c>
      <c r="D329" s="1516">
        <v>0</v>
      </c>
      <c r="E329" s="1516">
        <v>0</v>
      </c>
      <c r="F329" s="668">
        <v>0.26</v>
      </c>
      <c r="G329" s="1519">
        <v>0</v>
      </c>
      <c r="I329" s="84" t="s">
        <v>1239</v>
      </c>
    </row>
    <row r="330" spans="2:15" x14ac:dyDescent="0.25">
      <c r="C330" s="1029" t="s">
        <v>1187</v>
      </c>
      <c r="D330" s="1517">
        <v>0</v>
      </c>
      <c r="E330" s="1517">
        <v>0</v>
      </c>
      <c r="F330" s="679">
        <f>1-F329</f>
        <v>0.74</v>
      </c>
      <c r="G330" s="1520">
        <v>0</v>
      </c>
      <c r="H330" s="723"/>
      <c r="I330" s="84">
        <f>SUMPRODUCT(D325:G326,D329:G330)</f>
        <v>1.04</v>
      </c>
    </row>
    <row r="333" spans="2:15" x14ac:dyDescent="0.25">
      <c r="C333" t="s">
        <v>1228</v>
      </c>
    </row>
    <row r="334" spans="2:15" x14ac:dyDescent="0.25">
      <c r="B334" s="25" t="s">
        <v>315</v>
      </c>
      <c r="C334" s="1521" t="s">
        <v>1229</v>
      </c>
      <c r="O334" t="s">
        <v>315</v>
      </c>
    </row>
    <row r="336" spans="2:15" x14ac:dyDescent="0.25">
      <c r="C336" s="1521" t="s">
        <v>1231</v>
      </c>
    </row>
    <row r="337" spans="2:8" x14ac:dyDescent="0.25">
      <c r="C337" s="1521"/>
    </row>
    <row r="338" spans="2:8" x14ac:dyDescent="0.25">
      <c r="C338" s="1532" t="s">
        <v>1238</v>
      </c>
    </row>
    <row r="340" spans="2:8" x14ac:dyDescent="0.25">
      <c r="C340" s="84"/>
      <c r="D340" s="84" t="s">
        <v>1183</v>
      </c>
      <c r="E340" s="84" t="s">
        <v>1184</v>
      </c>
      <c r="F340" s="84" t="s">
        <v>1185</v>
      </c>
      <c r="G340" s="84"/>
    </row>
    <row r="341" spans="2:8" x14ac:dyDescent="0.25">
      <c r="B341" t="s">
        <v>749</v>
      </c>
      <c r="C341" s="84" t="s">
        <v>1188</v>
      </c>
      <c r="D341" s="668">
        <v>0.2</v>
      </c>
      <c r="E341" s="668">
        <v>0.15</v>
      </c>
      <c r="F341" s="669">
        <v>0.05</v>
      </c>
      <c r="G341" s="723">
        <f>SUM(D341:F341)</f>
        <v>0.39999999999999997</v>
      </c>
    </row>
    <row r="342" spans="2:8" x14ac:dyDescent="0.25">
      <c r="C342" s="84" t="s">
        <v>1187</v>
      </c>
      <c r="D342" s="679">
        <v>0.15</v>
      </c>
      <c r="E342" s="679">
        <v>0.2</v>
      </c>
      <c r="F342" s="680">
        <v>0.25</v>
      </c>
      <c r="G342" s="723">
        <f>SUM(D342:F342)</f>
        <v>0.6</v>
      </c>
      <c r="H342" s="459"/>
    </row>
    <row r="343" spans="2:8" x14ac:dyDescent="0.25">
      <c r="D343" s="723">
        <f t="shared" ref="D343:E343" si="14">SUM(D341:D342)</f>
        <v>0.35</v>
      </c>
      <c r="E343" s="723">
        <f t="shared" si="14"/>
        <v>0.35</v>
      </c>
      <c r="F343" s="723">
        <f>SUM(F341:F342)</f>
        <v>0.3</v>
      </c>
    </row>
    <row r="344" spans="2:8" x14ac:dyDescent="0.25">
      <c r="F344" s="459"/>
    </row>
    <row r="345" spans="2:8" x14ac:dyDescent="0.25">
      <c r="C345" s="84"/>
      <c r="D345" s="84" t="s">
        <v>1183</v>
      </c>
      <c r="E345" s="84" t="s">
        <v>1184</v>
      </c>
      <c r="F345" s="84" t="s">
        <v>1185</v>
      </c>
    </row>
    <row r="346" spans="2:8" x14ac:dyDescent="0.25">
      <c r="B346" t="s">
        <v>12</v>
      </c>
      <c r="C346" s="84" t="s">
        <v>1188</v>
      </c>
      <c r="D346" s="1525">
        <v>1</v>
      </c>
      <c r="E346" s="1525">
        <v>1</v>
      </c>
      <c r="F346" s="1527">
        <v>0</v>
      </c>
      <c r="H346" s="84" t="s">
        <v>1232</v>
      </c>
    </row>
    <row r="347" spans="2:8" x14ac:dyDescent="0.25">
      <c r="C347" s="84" t="s">
        <v>1187</v>
      </c>
      <c r="D347" s="1526">
        <v>1</v>
      </c>
      <c r="E347" s="1526">
        <v>1</v>
      </c>
      <c r="F347" s="1524">
        <f>F343/F342</f>
        <v>1.2</v>
      </c>
      <c r="H347" s="1523">
        <f>SUMPRODUCT(D341:F342,D346:F347)</f>
        <v>1</v>
      </c>
    </row>
    <row r="350" spans="2:8" x14ac:dyDescent="0.25">
      <c r="C350" t="s">
        <v>1233</v>
      </c>
    </row>
    <row r="352" spans="2:8" x14ac:dyDescent="0.25">
      <c r="C352" t="s">
        <v>1234</v>
      </c>
    </row>
    <row r="354" spans="3:8" x14ac:dyDescent="0.25">
      <c r="C354" s="84"/>
      <c r="D354" s="84" t="s">
        <v>1183</v>
      </c>
      <c r="E354" s="84" t="s">
        <v>1184</v>
      </c>
      <c r="F354" s="84" t="s">
        <v>1185</v>
      </c>
      <c r="G354" s="84"/>
    </row>
    <row r="355" spans="3:8" x14ac:dyDescent="0.25">
      <c r="C355" s="84" t="s">
        <v>1188</v>
      </c>
      <c r="D355" s="1516">
        <v>0</v>
      </c>
      <c r="E355" s="1516">
        <v>0</v>
      </c>
      <c r="F355" s="1027">
        <f>F341/F343</f>
        <v>0.16666666666666669</v>
      </c>
      <c r="G355" s="1070">
        <f>SUM(D355:F355)</f>
        <v>0.16666666666666669</v>
      </c>
    </row>
    <row r="356" spans="3:8" x14ac:dyDescent="0.25">
      <c r="C356" s="84" t="s">
        <v>1187</v>
      </c>
      <c r="D356" s="1517">
        <v>0</v>
      </c>
      <c r="E356" s="1517">
        <v>0</v>
      </c>
      <c r="F356" s="1030">
        <f>F342/F343</f>
        <v>0.83333333333333337</v>
      </c>
      <c r="G356" s="1070">
        <f>SUM(D356:F356)</f>
        <v>0.83333333333333337</v>
      </c>
    </row>
    <row r="357" spans="3:8" x14ac:dyDescent="0.25">
      <c r="D357" s="1518">
        <f t="shared" ref="D357" si="15">SUM(D355:D356)</f>
        <v>0</v>
      </c>
      <c r="E357" s="1518">
        <f t="shared" ref="E357" si="16">SUM(E355:E356)</f>
        <v>0</v>
      </c>
      <c r="F357" s="1070">
        <f>SUM(F355:F356)</f>
        <v>1</v>
      </c>
      <c r="G357" s="721"/>
    </row>
    <row r="359" spans="3:8" x14ac:dyDescent="0.25">
      <c r="C359" s="84"/>
      <c r="D359" s="84" t="s">
        <v>1183</v>
      </c>
      <c r="E359" s="84" t="s">
        <v>1184</v>
      </c>
      <c r="F359" s="84" t="s">
        <v>1185</v>
      </c>
    </row>
    <row r="360" spans="3:8" x14ac:dyDescent="0.25">
      <c r="C360" s="84" t="s">
        <v>1188</v>
      </c>
      <c r="D360" s="1528">
        <v>1</v>
      </c>
      <c r="E360" s="1528">
        <v>1</v>
      </c>
      <c r="F360" s="1529">
        <v>0</v>
      </c>
      <c r="H360" s="84" t="s">
        <v>1239</v>
      </c>
    </row>
    <row r="361" spans="3:8" x14ac:dyDescent="0.25">
      <c r="C361" s="84" t="s">
        <v>1187</v>
      </c>
      <c r="D361" s="1530">
        <v>1</v>
      </c>
      <c r="E361" s="1530">
        <v>1</v>
      </c>
      <c r="F361" s="1531">
        <f>F357/F356</f>
        <v>1.2</v>
      </c>
      <c r="H361" s="1523">
        <f>SUMPRODUCT(D355:F356,D360:F361)</f>
        <v>1</v>
      </c>
    </row>
    <row r="363" spans="3:8" x14ac:dyDescent="0.25">
      <c r="C363" t="s">
        <v>1235</v>
      </c>
    </row>
    <row r="365" spans="3:8" x14ac:dyDescent="0.25">
      <c r="C365" t="s">
        <v>1236</v>
      </c>
    </row>
    <row r="367" spans="3:8" x14ac:dyDescent="0.25">
      <c r="C367" s="84"/>
      <c r="D367" s="84" t="s">
        <v>1183</v>
      </c>
      <c r="E367" s="84" t="s">
        <v>1184</v>
      </c>
      <c r="F367" s="84" t="s">
        <v>1185</v>
      </c>
      <c r="G367" s="84"/>
    </row>
    <row r="368" spans="3:8" x14ac:dyDescent="0.25">
      <c r="C368" s="84" t="s">
        <v>1188</v>
      </c>
      <c r="D368" s="1516">
        <v>0</v>
      </c>
      <c r="E368" s="1516">
        <v>0</v>
      </c>
      <c r="F368" s="669">
        <f>1-F369</f>
        <v>0</v>
      </c>
      <c r="G368" s="723">
        <f>SUM(D368:F368)</f>
        <v>0</v>
      </c>
    </row>
    <row r="369" spans="3:8" x14ac:dyDescent="0.25">
      <c r="C369" s="84" t="s">
        <v>1187</v>
      </c>
      <c r="D369" s="1517">
        <v>0</v>
      </c>
      <c r="E369" s="1517">
        <v>0</v>
      </c>
      <c r="F369" s="680">
        <v>1</v>
      </c>
      <c r="G369" s="723">
        <f>SUM(D369:F369)</f>
        <v>1</v>
      </c>
    </row>
    <row r="370" spans="3:8" x14ac:dyDescent="0.25">
      <c r="D370" s="1518">
        <f t="shared" ref="D370" si="17">SUM(D368:D369)</f>
        <v>0</v>
      </c>
      <c r="E370" s="1518">
        <f t="shared" ref="E370" si="18">SUM(E368:E369)</f>
        <v>0</v>
      </c>
      <c r="F370" s="723">
        <f>SUM(F368:F369)</f>
        <v>1</v>
      </c>
    </row>
    <row r="372" spans="3:8" x14ac:dyDescent="0.25">
      <c r="C372" s="84"/>
      <c r="D372" s="84" t="s">
        <v>1183</v>
      </c>
      <c r="E372" s="84" t="s">
        <v>1184</v>
      </c>
      <c r="F372" s="84" t="s">
        <v>1185</v>
      </c>
    </row>
    <row r="373" spans="3:8" x14ac:dyDescent="0.25">
      <c r="C373" s="84" t="s">
        <v>1188</v>
      </c>
      <c r="D373" s="1528">
        <f>D360</f>
        <v>1</v>
      </c>
      <c r="E373" s="1528">
        <f t="shared" ref="E373:F373" si="19">E360</f>
        <v>1</v>
      </c>
      <c r="F373" s="1529">
        <f t="shared" si="19"/>
        <v>0</v>
      </c>
      <c r="H373" s="84" t="s">
        <v>1239</v>
      </c>
    </row>
    <row r="374" spans="3:8" x14ac:dyDescent="0.25">
      <c r="C374" s="84" t="s">
        <v>1187</v>
      </c>
      <c r="D374" s="1530">
        <f t="shared" ref="D374:F374" si="20">D361</f>
        <v>1</v>
      </c>
      <c r="E374" s="1530">
        <f t="shared" si="20"/>
        <v>1</v>
      </c>
      <c r="F374" s="1531">
        <f t="shared" si="20"/>
        <v>1.2</v>
      </c>
      <c r="H374" s="1523">
        <f>SUMPRODUCT(D368:F369,D373:F374)</f>
        <v>1.2</v>
      </c>
    </row>
    <row r="377" spans="3:8" x14ac:dyDescent="0.25">
      <c r="C377" t="s">
        <v>1237</v>
      </c>
    </row>
    <row r="378" spans="3:8" x14ac:dyDescent="0.25">
      <c r="C378" t="s">
        <v>1244</v>
      </c>
    </row>
    <row r="379" spans="3:8" x14ac:dyDescent="0.25">
      <c r="C379" s="4"/>
    </row>
  </sheetData>
  <mergeCells count="14">
    <mergeCell ref="I175:L175"/>
    <mergeCell ref="I187:L187"/>
    <mergeCell ref="I112:L112"/>
    <mergeCell ref="G10:G12"/>
    <mergeCell ref="G14:G16"/>
    <mergeCell ref="G18:G21"/>
    <mergeCell ref="I103:J103"/>
    <mergeCell ref="K103:L103"/>
    <mergeCell ref="I77:L77"/>
    <mergeCell ref="I102:J102"/>
    <mergeCell ref="K102:L102"/>
    <mergeCell ref="I108:J108"/>
    <mergeCell ref="K108:L108"/>
    <mergeCell ref="I89:L89"/>
  </mergeCells>
  <conditionalFormatting sqref="AD29:AG41">
    <cfRule type="dataBar" priority="1">
      <dataBar>
        <cfvo type="min"/>
        <cfvo type="max"/>
        <color rgb="FF638EC6"/>
      </dataBar>
      <extLst>
        <ext xmlns:x14="http://schemas.microsoft.com/office/spreadsheetml/2009/9/main" uri="{B025F937-C7B1-47D3-B67F-A62EFF666E3E}">
          <x14:id>{F7BF0FDF-DC55-451D-AACB-7539D1FFC338}</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F7BF0FDF-DC55-451D-AACB-7539D1FFC338}">
            <x14:dataBar minLength="0" maxLength="100" gradient="0">
              <x14:cfvo type="autoMin"/>
              <x14:cfvo type="autoMax"/>
              <x14:negativeFillColor rgb="FFFF0000"/>
              <x14:axisColor rgb="FF000000"/>
            </x14:dataBar>
          </x14:cfRule>
          <xm:sqref>AD29:AG41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2:AV49"/>
  <sheetViews>
    <sheetView zoomScale="85" zoomScaleNormal="85" workbookViewId="0">
      <selection activeCell="E13" sqref="E13"/>
    </sheetView>
  </sheetViews>
  <sheetFormatPr defaultRowHeight="15" x14ac:dyDescent="0.25"/>
  <cols>
    <col min="3" max="3" width="13.28515625" customWidth="1"/>
    <col min="5" max="12" width="11.42578125" style="33" customWidth="1"/>
    <col min="13" max="23" width="13.140625" style="33" customWidth="1"/>
    <col min="24" max="24" width="13.140625" customWidth="1"/>
    <col min="25" max="25" width="12.85546875" customWidth="1"/>
    <col min="26" max="26" width="12.7109375" customWidth="1"/>
    <col min="27" max="27" width="10.28515625" customWidth="1"/>
    <col min="28" max="28" width="10.7109375" customWidth="1"/>
    <col min="29" max="29" width="11.7109375" customWidth="1"/>
    <col min="30" max="30" width="13.140625" customWidth="1"/>
    <col min="31" max="31" width="12.85546875" customWidth="1"/>
    <col min="32" max="32" width="12.140625" hidden="1" customWidth="1"/>
    <col min="33" max="33" width="10.5703125" hidden="1" customWidth="1"/>
    <col min="34" max="35" width="0" hidden="1" customWidth="1"/>
    <col min="36" max="36" width="11.140625" hidden="1" customWidth="1"/>
    <col min="37" max="38" width="0" hidden="1" customWidth="1"/>
    <col min="39" max="39" width="20" customWidth="1"/>
    <col min="42" max="42" width="10" customWidth="1"/>
    <col min="43" max="43" width="13" customWidth="1"/>
    <col min="45" max="46" width="10.42578125" customWidth="1"/>
  </cols>
  <sheetData>
    <row r="2" spans="2:36" ht="31.5" x14ac:dyDescent="0.5">
      <c r="B2" s="186" t="s">
        <v>308</v>
      </c>
      <c r="D2" s="139"/>
    </row>
    <row r="3" spans="2:36" ht="31.5" x14ac:dyDescent="0.5">
      <c r="B3" s="186"/>
      <c r="D3" s="139"/>
    </row>
    <row r="4" spans="2:36" x14ac:dyDescent="0.25">
      <c r="C4" s="1564" t="s">
        <v>159</v>
      </c>
      <c r="D4" s="150" t="s">
        <v>101</v>
      </c>
      <c r="E4" s="150" t="s">
        <v>645</v>
      </c>
      <c r="F4" s="150"/>
      <c r="G4" s="264"/>
      <c r="H4" s="264"/>
      <c r="I4" s="264"/>
      <c r="J4" s="264"/>
      <c r="K4" s="264"/>
      <c r="L4" s="264"/>
      <c r="M4" s="259"/>
    </row>
    <row r="5" spans="2:36" x14ac:dyDescent="0.25">
      <c r="C5" s="1565"/>
      <c r="D5" s="17" t="s">
        <v>145</v>
      </c>
      <c r="E5" s="18">
        <v>2</v>
      </c>
      <c r="F5" s="7" t="s">
        <v>146</v>
      </c>
      <c r="G5" s="17"/>
      <c r="H5" s="17" t="s">
        <v>240</v>
      </c>
      <c r="I5" s="17"/>
      <c r="J5" s="17"/>
      <c r="K5" s="17"/>
      <c r="L5" s="17"/>
      <c r="M5" s="239"/>
    </row>
    <row r="6" spans="2:36" x14ac:dyDescent="0.25">
      <c r="C6" s="1565"/>
      <c r="D6" s="17" t="s">
        <v>148</v>
      </c>
      <c r="E6" s="18">
        <v>50</v>
      </c>
      <c r="F6" s="7" t="s">
        <v>147</v>
      </c>
      <c r="G6" s="17"/>
      <c r="H6" s="17" t="s">
        <v>241</v>
      </c>
      <c r="I6" s="17"/>
      <c r="J6" s="17"/>
      <c r="K6" s="17"/>
      <c r="L6" s="17"/>
      <c r="M6" s="239"/>
    </row>
    <row r="7" spans="2:36" x14ac:dyDescent="0.25">
      <c r="C7" s="1565"/>
      <c r="D7" s="140" t="s">
        <v>149</v>
      </c>
      <c r="E7" s="18">
        <f>E6-E5</f>
        <v>48</v>
      </c>
      <c r="F7" s="7" t="s">
        <v>150</v>
      </c>
      <c r="G7" s="17"/>
      <c r="H7" s="17"/>
      <c r="I7" s="17"/>
      <c r="J7" s="17"/>
      <c r="K7" s="17"/>
      <c r="L7" s="17"/>
      <c r="M7" s="239"/>
    </row>
    <row r="8" spans="2:36" x14ac:dyDescent="0.25">
      <c r="C8" s="1565"/>
      <c r="D8" s="140" t="s">
        <v>153</v>
      </c>
      <c r="E8" s="190"/>
      <c r="F8" s="8" t="s">
        <v>156</v>
      </c>
      <c r="G8" s="17"/>
      <c r="H8" s="17"/>
      <c r="I8" s="17"/>
      <c r="J8" s="17"/>
      <c r="K8" s="17"/>
      <c r="L8" s="17"/>
      <c r="M8" s="239"/>
    </row>
    <row r="9" spans="2:36" x14ac:dyDescent="0.25">
      <c r="C9" s="1565"/>
      <c r="D9" s="140" t="s">
        <v>154</v>
      </c>
      <c r="E9" s="190"/>
      <c r="F9" s="8" t="s">
        <v>157</v>
      </c>
      <c r="G9" s="17"/>
      <c r="H9" s="17"/>
      <c r="I9" s="17"/>
      <c r="J9" s="17"/>
      <c r="K9" s="17"/>
      <c r="L9" s="17"/>
      <c r="M9" s="239"/>
    </row>
    <row r="10" spans="2:36" x14ac:dyDescent="0.25">
      <c r="C10" s="1566"/>
      <c r="D10" s="265" t="s">
        <v>155</v>
      </c>
      <c r="E10" s="266"/>
      <c r="F10" s="267" t="s">
        <v>158</v>
      </c>
      <c r="G10" s="257"/>
      <c r="H10" s="257"/>
      <c r="I10" s="257"/>
      <c r="J10" s="257"/>
      <c r="K10" s="257"/>
      <c r="L10" s="257"/>
      <c r="M10" s="260"/>
    </row>
    <row r="11" spans="2:36" x14ac:dyDescent="0.25">
      <c r="C11" s="256"/>
      <c r="D11" s="140"/>
      <c r="E11" s="190"/>
      <c r="F11" s="8"/>
      <c r="G11" s="17"/>
      <c r="H11" s="17"/>
      <c r="I11" s="17"/>
      <c r="J11" s="17"/>
      <c r="K11" s="17"/>
      <c r="L11" s="17"/>
    </row>
    <row r="12" spans="2:36" x14ac:dyDescent="0.25">
      <c r="C12" s="1564" t="s">
        <v>163</v>
      </c>
      <c r="D12" s="150" t="s">
        <v>101</v>
      </c>
      <c r="E12" s="150" t="s">
        <v>646</v>
      </c>
      <c r="F12" s="150"/>
      <c r="G12" s="264"/>
      <c r="H12" s="264"/>
      <c r="I12" s="264"/>
      <c r="J12" s="264"/>
      <c r="K12" s="264"/>
      <c r="L12" s="264"/>
      <c r="M12" s="259"/>
    </row>
    <row r="13" spans="2:36" x14ac:dyDescent="0.25">
      <c r="C13" s="1565"/>
      <c r="D13" s="17" t="s">
        <v>145</v>
      </c>
      <c r="E13" s="18">
        <v>5</v>
      </c>
      <c r="F13" s="7" t="s">
        <v>146</v>
      </c>
      <c r="G13" s="17"/>
      <c r="H13" s="17" t="s">
        <v>243</v>
      </c>
      <c r="I13" s="17"/>
      <c r="J13" s="17"/>
      <c r="K13" s="17"/>
      <c r="L13" s="17"/>
      <c r="M13" s="239"/>
    </row>
    <row r="14" spans="2:36" s="33" customFormat="1" x14ac:dyDescent="0.25">
      <c r="B14"/>
      <c r="C14" s="1565"/>
      <c r="D14" s="17" t="s">
        <v>148</v>
      </c>
      <c r="E14" s="18">
        <v>255</v>
      </c>
      <c r="F14" s="7" t="s">
        <v>147</v>
      </c>
      <c r="G14" s="17"/>
      <c r="H14" s="17" t="s">
        <v>242</v>
      </c>
      <c r="I14" s="17"/>
      <c r="J14" s="17"/>
      <c r="K14" s="17"/>
      <c r="L14" s="17"/>
      <c r="M14" s="239"/>
      <c r="X14"/>
      <c r="Y14"/>
      <c r="Z14"/>
      <c r="AA14"/>
      <c r="AB14"/>
      <c r="AC14"/>
      <c r="AD14"/>
      <c r="AE14"/>
      <c r="AF14"/>
      <c r="AG14"/>
      <c r="AH14"/>
      <c r="AI14"/>
      <c r="AJ14"/>
    </row>
    <row r="15" spans="2:36" s="33" customFormat="1" x14ac:dyDescent="0.25">
      <c r="B15"/>
      <c r="C15" s="1565"/>
      <c r="D15" s="140" t="s">
        <v>149</v>
      </c>
      <c r="E15" s="18">
        <f>E14-E13</f>
        <v>250</v>
      </c>
      <c r="F15" s="7" t="s">
        <v>150</v>
      </c>
      <c r="G15" s="17"/>
      <c r="H15" s="17"/>
      <c r="I15" s="17"/>
      <c r="J15" s="17"/>
      <c r="K15" s="17"/>
      <c r="L15" s="17"/>
      <c r="M15" s="239"/>
      <c r="X15"/>
      <c r="Y15"/>
      <c r="Z15"/>
      <c r="AA15"/>
      <c r="AB15"/>
      <c r="AC15"/>
      <c r="AD15"/>
      <c r="AE15"/>
      <c r="AF15"/>
      <c r="AG15"/>
      <c r="AH15"/>
      <c r="AI15"/>
      <c r="AJ15"/>
    </row>
    <row r="16" spans="2:36" s="33" customFormat="1" x14ac:dyDescent="0.25">
      <c r="B16"/>
      <c r="C16" s="1565"/>
      <c r="D16" s="140" t="s">
        <v>153</v>
      </c>
      <c r="E16" s="190"/>
      <c r="F16" s="8" t="s">
        <v>156</v>
      </c>
      <c r="G16" s="17"/>
      <c r="H16" s="17"/>
      <c r="I16" s="17"/>
      <c r="J16" s="17"/>
      <c r="K16" s="17"/>
      <c r="L16" s="17"/>
      <c r="M16" s="239"/>
      <c r="X16"/>
      <c r="Y16"/>
      <c r="Z16"/>
      <c r="AA16"/>
      <c r="AB16"/>
      <c r="AC16"/>
      <c r="AD16"/>
      <c r="AE16"/>
      <c r="AF16"/>
      <c r="AG16"/>
      <c r="AH16"/>
      <c r="AI16"/>
      <c r="AJ16"/>
    </row>
    <row r="17" spans="2:48" s="33" customFormat="1" x14ac:dyDescent="0.25">
      <c r="B17"/>
      <c r="C17" s="1565"/>
      <c r="D17" s="140" t="s">
        <v>154</v>
      </c>
      <c r="E17" s="190"/>
      <c r="F17" s="8" t="s">
        <v>157</v>
      </c>
      <c r="G17" s="17"/>
      <c r="H17" s="17"/>
      <c r="I17" s="17"/>
      <c r="J17" s="17"/>
      <c r="K17" s="17"/>
      <c r="L17" s="17"/>
      <c r="M17" s="239"/>
      <c r="X17"/>
      <c r="Y17"/>
      <c r="Z17"/>
      <c r="AA17"/>
      <c r="AB17"/>
      <c r="AC17"/>
      <c r="AD17"/>
      <c r="AE17"/>
      <c r="AF17"/>
      <c r="AG17"/>
      <c r="AH17"/>
      <c r="AI17"/>
      <c r="AJ17"/>
    </row>
    <row r="18" spans="2:48" s="33" customFormat="1" x14ac:dyDescent="0.25">
      <c r="B18"/>
      <c r="C18" s="1566"/>
      <c r="D18" s="265" t="s">
        <v>155</v>
      </c>
      <c r="E18" s="266"/>
      <c r="F18" s="267" t="s">
        <v>158</v>
      </c>
      <c r="G18" s="257"/>
      <c r="H18" s="257"/>
      <c r="I18" s="257"/>
      <c r="J18" s="257"/>
      <c r="K18" s="257"/>
      <c r="L18" s="257"/>
      <c r="M18" s="260"/>
      <c r="X18"/>
      <c r="Y18"/>
      <c r="Z18"/>
      <c r="AA18"/>
      <c r="AB18"/>
      <c r="AC18"/>
      <c r="AD18"/>
      <c r="AE18"/>
      <c r="AF18"/>
      <c r="AG18"/>
      <c r="AH18"/>
      <c r="AI18"/>
      <c r="AJ18"/>
    </row>
    <row r="19" spans="2:48" s="33" customFormat="1" ht="15.75" thickBot="1" x14ac:dyDescent="0.3">
      <c r="B19"/>
      <c r="C19" s="256"/>
      <c r="D19" s="140"/>
      <c r="E19" s="190"/>
      <c r="F19" s="8"/>
      <c r="G19" s="17"/>
      <c r="H19" s="17"/>
      <c r="I19" s="17"/>
      <c r="J19" s="17"/>
      <c r="K19" s="17"/>
      <c r="L19" s="17"/>
      <c r="X19"/>
      <c r="Y19"/>
      <c r="Z19"/>
      <c r="AA19"/>
      <c r="AB19"/>
      <c r="AC19"/>
      <c r="AD19"/>
      <c r="AE19"/>
      <c r="AF19"/>
      <c r="AG19"/>
      <c r="AH19"/>
      <c r="AI19"/>
      <c r="AJ19"/>
    </row>
    <row r="20" spans="2:48" s="33" customFormat="1" x14ac:dyDescent="0.25">
      <c r="B20"/>
      <c r="C20" s="1567" t="s">
        <v>148</v>
      </c>
      <c r="D20" s="273" t="s">
        <v>160</v>
      </c>
      <c r="E20" s="274" t="s">
        <v>164</v>
      </c>
      <c r="F20" s="251" t="s">
        <v>162</v>
      </c>
      <c r="G20" s="251"/>
      <c r="H20" s="251"/>
      <c r="I20" s="249"/>
      <c r="X20"/>
      <c r="Y20"/>
      <c r="Z20"/>
      <c r="AA20"/>
      <c r="AB20"/>
      <c r="AC20"/>
      <c r="AD20"/>
      <c r="AE20"/>
      <c r="AF20"/>
      <c r="AG20"/>
      <c r="AH20"/>
      <c r="AI20"/>
      <c r="AJ20"/>
    </row>
    <row r="21" spans="2:48" x14ac:dyDescent="0.25">
      <c r="C21" s="1568"/>
      <c r="D21" s="17" t="s">
        <v>135</v>
      </c>
      <c r="E21" s="254">
        <v>4</v>
      </c>
      <c r="F21" s="17" t="s">
        <v>136</v>
      </c>
      <c r="G21" s="17"/>
      <c r="H21" s="17"/>
      <c r="I21" s="195"/>
    </row>
    <row r="22" spans="2:48" x14ac:dyDescent="0.25">
      <c r="C22" s="1568"/>
      <c r="D22" s="17" t="s">
        <v>5</v>
      </c>
      <c r="E22" s="18">
        <v>1</v>
      </c>
      <c r="F22" s="17" t="s">
        <v>139</v>
      </c>
      <c r="G22" s="17"/>
      <c r="H22" s="17"/>
      <c r="I22" s="195"/>
    </row>
    <row r="23" spans="2:48" ht="15" customHeight="1" x14ac:dyDescent="0.25">
      <c r="C23" s="1568"/>
      <c r="D23" s="140" t="s">
        <v>151</v>
      </c>
      <c r="E23" s="18">
        <f>SUM(E7,E15)</f>
        <v>298</v>
      </c>
      <c r="F23" s="547" t="s">
        <v>217</v>
      </c>
      <c r="G23" s="17"/>
      <c r="H23" s="17"/>
      <c r="I23" s="195"/>
      <c r="K23" s="1609" t="s">
        <v>403</v>
      </c>
      <c r="L23" s="1609"/>
      <c r="M23" s="1609"/>
      <c r="N23" s="1609"/>
    </row>
    <row r="24" spans="2:48" ht="15.75" thickBot="1" x14ac:dyDescent="0.3">
      <c r="C24" s="1569"/>
      <c r="D24" s="166" t="s">
        <v>137</v>
      </c>
      <c r="E24" s="275">
        <f>E22*E23*LN(E21)</f>
        <v>413.11571961372738</v>
      </c>
      <c r="F24" s="166" t="s">
        <v>138</v>
      </c>
      <c r="G24" s="252"/>
      <c r="H24" s="252"/>
      <c r="I24" s="250"/>
      <c r="K24" s="1609"/>
      <c r="L24" s="1609"/>
      <c r="M24" s="1609"/>
      <c r="N24" s="1609"/>
    </row>
    <row r="25" spans="2:48" x14ac:dyDescent="0.25">
      <c r="B25" s="7"/>
    </row>
    <row r="26" spans="2:48" ht="15.75" thickBot="1" x14ac:dyDescent="0.3">
      <c r="W26" s="140"/>
      <c r="X26" s="8"/>
      <c r="Y26" s="8"/>
      <c r="Z26" s="8"/>
      <c r="AA26" s="8"/>
      <c r="AB26" s="8"/>
      <c r="AC26" s="8"/>
      <c r="AD26" s="8"/>
      <c r="AF26" s="8"/>
      <c r="AG26" s="7"/>
      <c r="AH26" s="7"/>
      <c r="AI26" s="7"/>
      <c r="AJ26" s="7"/>
      <c r="AK26" s="7"/>
    </row>
    <row r="27" spans="2:48" ht="19.5" thickBot="1" x14ac:dyDescent="0.35">
      <c r="C27" s="7"/>
      <c r="E27" s="199" t="s">
        <v>12</v>
      </c>
      <c r="F27" s="200"/>
      <c r="G27" s="200"/>
      <c r="H27" s="201"/>
      <c r="I27" s="199" t="s">
        <v>220</v>
      </c>
      <c r="J27" s="200"/>
      <c r="K27" s="200"/>
      <c r="L27" s="201"/>
      <c r="M27" s="199" t="s">
        <v>219</v>
      </c>
      <c r="N27" s="200"/>
      <c r="O27" s="200"/>
      <c r="P27" s="201"/>
      <c r="Q27" s="199" t="s">
        <v>218</v>
      </c>
      <c r="R27" s="200"/>
      <c r="S27" s="200"/>
      <c r="T27" s="201"/>
      <c r="U27" s="199" t="s">
        <v>222</v>
      </c>
      <c r="V27" s="200"/>
      <c r="W27" s="200"/>
      <c r="X27" s="201"/>
      <c r="Y27" s="199" t="s">
        <v>221</v>
      </c>
      <c r="Z27" s="200"/>
      <c r="AA27" s="200"/>
      <c r="AB27" s="201"/>
      <c r="AC27" s="199" t="s">
        <v>36</v>
      </c>
      <c r="AD27" s="201" t="s">
        <v>35</v>
      </c>
      <c r="AE27" s="193"/>
      <c r="AF27" s="460" t="s">
        <v>98</v>
      </c>
      <c r="AG27" s="461"/>
      <c r="AH27" s="183" t="s">
        <v>99</v>
      </c>
      <c r="AI27" s="7"/>
      <c r="AJ27" s="7" t="s">
        <v>100</v>
      </c>
      <c r="AK27" s="20"/>
      <c r="AL27" s="184" t="s">
        <v>100</v>
      </c>
      <c r="AM27" s="20"/>
      <c r="AN27" s="20"/>
      <c r="AO27" s="20"/>
      <c r="AP27" s="7"/>
      <c r="AQ27" s="7"/>
      <c r="AR27" s="7"/>
      <c r="AS27" s="7"/>
      <c r="AT27" s="7"/>
      <c r="AU27" s="7"/>
      <c r="AV27" s="7"/>
    </row>
    <row r="28" spans="2:48" ht="16.5" thickTop="1" thickBot="1" x14ac:dyDescent="0.3">
      <c r="C28" s="32"/>
      <c r="D28" s="115" t="s">
        <v>45</v>
      </c>
      <c r="E28" s="247" t="str">
        <f>"S("&amp;$E$5&amp;", "&amp;$E$13&amp;")"</f>
        <v>S(2, 5)</v>
      </c>
      <c r="F28" s="176" t="str">
        <f>"S("&amp;$E$5&amp;", "&amp;$E$14&amp;")"</f>
        <v>S(2, 255)</v>
      </c>
      <c r="G28" s="173" t="str">
        <f>"S("&amp;$E$6&amp;", "&amp;$E$13&amp;")"</f>
        <v>S(50, 5)</v>
      </c>
      <c r="H28" s="313" t="str">
        <f>"S("&amp;$E$6&amp;", "&amp;$E$14&amp;")"</f>
        <v>S(50, 255)</v>
      </c>
      <c r="I28" s="247" t="str">
        <f>"P"&amp;(RIGHT(E28,LEN(E28)-1))</f>
        <v>P(2, 5)</v>
      </c>
      <c r="J28" s="176" t="str">
        <f>"P"&amp;(RIGHT(F28,LEN(F28)-1))</f>
        <v>P(2, 255)</v>
      </c>
      <c r="K28" s="173" t="str">
        <f>"P"&amp;(RIGHT(G28,LEN(G28)-1))</f>
        <v>P(50, 5)</v>
      </c>
      <c r="L28" s="313" t="str">
        <f>"P"&amp;(RIGHT(H28,LEN(H28)-1))</f>
        <v>P(50, 255)</v>
      </c>
      <c r="M28" s="1610" t="str">
        <f>"P("&amp;$E$5&amp;",:)      &lt;--- d1 ---&gt;      P("&amp;$E$6&amp;",:)"</f>
        <v>P(2,:)      &lt;--- d1 ---&gt;      P(50,:)</v>
      </c>
      <c r="N28" s="1611"/>
      <c r="O28" s="1613" t="str">
        <f>"P(:,"&amp;$E$13&amp;")     &lt;--- d2 ---&gt;    P(:,"&amp;$E$14&amp;")"</f>
        <v>P(:,5)     &lt;--- d2 ---&gt;    P(:,255)</v>
      </c>
      <c r="P28" s="1614"/>
      <c r="Q28" s="1610" t="str">
        <f>"V"&amp;RIGHT(M28,LEN(M28)-1)</f>
        <v>V(2,:)      &lt;--- d1 ---&gt;      P(50,:)</v>
      </c>
      <c r="R28" s="1611"/>
      <c r="S28" s="1615" t="str">
        <f>"V"&amp;RIGHT(O28,LEN(O28)-1)</f>
        <v>V(:,5)     &lt;--- d2 ---&gt;    P(:,255)</v>
      </c>
      <c r="T28" s="1614"/>
      <c r="U28" s="1610" t="str">
        <f>Q28</f>
        <v>V(2,:)      &lt;--- d1 ---&gt;      P(50,:)</v>
      </c>
      <c r="V28" s="1611"/>
      <c r="W28" s="1615" t="str">
        <f>S28</f>
        <v>V(:,5)     &lt;--- d2 ---&gt;    P(:,255)</v>
      </c>
      <c r="X28" s="1614"/>
      <c r="Y28" s="247" t="str">
        <f>I28</f>
        <v>P(2, 5)</v>
      </c>
      <c r="Z28" s="176" t="str">
        <f>J28</f>
        <v>P(2, 255)</v>
      </c>
      <c r="AA28" s="173" t="str">
        <f>K28</f>
        <v>P(50, 5)</v>
      </c>
      <c r="AB28" s="313" t="str">
        <f>L28</f>
        <v>P(50, 255)</v>
      </c>
      <c r="AC28" s="504">
        <v>0</v>
      </c>
      <c r="AD28" s="203"/>
      <c r="AE28" s="140"/>
      <c r="AF28" s="180" t="str">
        <f>I28</f>
        <v>P(2, 5)</v>
      </c>
      <c r="AG28" s="181" t="str">
        <f>L28</f>
        <v>P(50, 255)</v>
      </c>
      <c r="AH28" s="7"/>
      <c r="AI28" s="7"/>
      <c r="AJ28" s="7"/>
      <c r="AK28" s="7"/>
      <c r="AM28" s="7" t="s">
        <v>176</v>
      </c>
      <c r="AN28" s="7"/>
      <c r="AO28" s="7"/>
      <c r="AP28" s="7"/>
      <c r="AQ28" s="7"/>
      <c r="AR28" s="7"/>
      <c r="AS28" s="7"/>
      <c r="AT28" s="7"/>
      <c r="AU28" s="7"/>
      <c r="AV28" s="7"/>
    </row>
    <row r="29" spans="2:48" ht="15.75" thickTop="1" x14ac:dyDescent="0.25">
      <c r="C29" s="7"/>
      <c r="D29" s="25">
        <v>1</v>
      </c>
      <c r="E29" s="314">
        <v>0</v>
      </c>
      <c r="F29" s="214">
        <v>0</v>
      </c>
      <c r="G29" s="213">
        <v>0</v>
      </c>
      <c r="H29" s="315">
        <v>0</v>
      </c>
      <c r="I29" s="324">
        <f t="shared" ref="I29:I37" si="0">EXP(E29/$E$22)/(EXP($E29/$E$22)+EXP($F29/$E$22)+EXP($G29/$E$22)+EXP($H29/$E$22))</f>
        <v>0.25</v>
      </c>
      <c r="J29" s="210">
        <f t="shared" ref="J29:J37" si="1">EXP(F29/$E$22)/(EXP($E29/$E$22)+EXP($F29/$E$22)+EXP($G29/$E$22)+EXP($H29/$E$22))</f>
        <v>0.25</v>
      </c>
      <c r="K29" s="209">
        <f t="shared" ref="K29:K37" si="2">EXP(G29/$E$22)/(EXP($E29/$E$22)+EXP($F29/$E$22)+EXP($G29/$E$22)+EXP($H29/$E$22))</f>
        <v>0.25</v>
      </c>
      <c r="L29" s="325">
        <f t="shared" ref="L29:L37" si="3">EXP(H29/$E$22)/(EXP($E29/$E$22)+EXP($F29/$E$22)+EXP($G29/$E$22)+EXP($H29/$E$22))</f>
        <v>0.25</v>
      </c>
      <c r="M29" s="486">
        <f>SUM(I29:J29)</f>
        <v>0.5</v>
      </c>
      <c r="N29" s="1052">
        <f>SUM(K29,L29)</f>
        <v>0.5</v>
      </c>
      <c r="O29" s="1056">
        <f>SUM(K29,I29)</f>
        <v>0.5</v>
      </c>
      <c r="P29" s="472">
        <f>SUM(J29,L29)</f>
        <v>0.5</v>
      </c>
      <c r="Q29" s="486">
        <f>M29*$E$7</f>
        <v>24</v>
      </c>
      <c r="R29" s="1049">
        <f>N29*$E$7</f>
        <v>24</v>
      </c>
      <c r="S29" s="491">
        <f>O29*$E$15</f>
        <v>125</v>
      </c>
      <c r="T29" s="472">
        <f>P29*$E$15</f>
        <v>125</v>
      </c>
      <c r="U29" s="486">
        <f>Q29+$E$5</f>
        <v>26</v>
      </c>
      <c r="V29" s="1049">
        <f>R29+$E$5</f>
        <v>26</v>
      </c>
      <c r="W29" s="491">
        <f>S29+$E$13</f>
        <v>130</v>
      </c>
      <c r="X29" s="472">
        <f>T29+$E$13</f>
        <v>130</v>
      </c>
      <c r="Y29" s="314">
        <f>SUM(Q29,S29)</f>
        <v>149</v>
      </c>
      <c r="Z29" s="214">
        <f t="shared" ref="Z29:Z38" si="4">SUM(Q29,T29)</f>
        <v>149</v>
      </c>
      <c r="AA29" s="213">
        <f t="shared" ref="AA29:AA38" si="5">SUM(R29,S29)</f>
        <v>149</v>
      </c>
      <c r="AB29" s="315">
        <f t="shared" ref="AB29:AB38" si="6">SUM(R29,T29)</f>
        <v>149</v>
      </c>
      <c r="AC29" s="81">
        <f>$E$23*$E$22*LN(EXP($E29/$E$22) + EXP($F29/$E$22) + EXP($G29/$E$22) +EXP($H29/$E$22) )</f>
        <v>413.11571961372738</v>
      </c>
      <c r="AD29" s="204">
        <f t="shared" ref="AD29:AD37" si="7">(AC29-AC28)</f>
        <v>413.11571961372738</v>
      </c>
      <c r="AE29" s="194"/>
      <c r="AF29" s="114"/>
      <c r="AG29" s="100"/>
      <c r="AH29" s="7"/>
      <c r="AI29" s="7"/>
      <c r="AJ29" s="7"/>
      <c r="AK29" s="7"/>
      <c r="AM29" s="311" t="s">
        <v>208</v>
      </c>
      <c r="AN29" s="7"/>
      <c r="AO29" s="7"/>
      <c r="AP29" s="7"/>
      <c r="AQ29" s="7"/>
      <c r="AR29" s="7"/>
      <c r="AS29" s="7"/>
      <c r="AT29" s="187"/>
      <c r="AU29" s="7"/>
      <c r="AV29" s="7"/>
    </row>
    <row r="30" spans="2:48" ht="18.75" x14ac:dyDescent="0.3">
      <c r="C30" s="7"/>
      <c r="D30" s="25">
        <v>2</v>
      </c>
      <c r="E30" s="316">
        <v>0</v>
      </c>
      <c r="F30" s="232">
        <v>0</v>
      </c>
      <c r="G30" s="231">
        <v>1</v>
      </c>
      <c r="H30" s="317">
        <v>1</v>
      </c>
      <c r="I30" s="326">
        <f t="shared" si="0"/>
        <v>0.13447071068499758</v>
      </c>
      <c r="J30" s="228">
        <f t="shared" si="1"/>
        <v>0.13447071068499758</v>
      </c>
      <c r="K30" s="227">
        <f t="shared" si="2"/>
        <v>0.3655292893150025</v>
      </c>
      <c r="L30" s="327">
        <f t="shared" si="3"/>
        <v>0.3655292893150025</v>
      </c>
      <c r="M30" s="487">
        <f t="shared" ref="M30:M37" si="8">SUM(I30:J30)</f>
        <v>0.26894142136999516</v>
      </c>
      <c r="N30" s="1047">
        <f t="shared" ref="N30:N38" si="9">SUM(K30,L30)</f>
        <v>0.73105857863000501</v>
      </c>
      <c r="O30" s="1055">
        <f t="shared" ref="O30:O38" si="10">SUM(K30,I30)</f>
        <v>0.50000000000000011</v>
      </c>
      <c r="P30" s="473">
        <f t="shared" ref="P30:P38" si="11">SUM(J30,L30)</f>
        <v>0.50000000000000011</v>
      </c>
      <c r="Q30" s="487">
        <f t="shared" ref="Q30:Q38" si="12">M30*$E$7</f>
        <v>12.909188225759767</v>
      </c>
      <c r="R30" s="1048">
        <f t="shared" ref="R30:R38" si="13">N30*$E$7</f>
        <v>35.090811774240237</v>
      </c>
      <c r="S30" s="492">
        <f t="shared" ref="S30:S38" si="14">O30*$E$15</f>
        <v>125.00000000000003</v>
      </c>
      <c r="T30" s="473">
        <f t="shared" ref="T30:T37" si="15">P30*$E$15</f>
        <v>125.00000000000003</v>
      </c>
      <c r="U30" s="487">
        <f t="shared" ref="U30:U38" si="16">Q30+$E$5</f>
        <v>14.909188225759767</v>
      </c>
      <c r="V30" s="1048">
        <f t="shared" ref="V30:V38" si="17">R30+$E$5</f>
        <v>37.090811774240237</v>
      </c>
      <c r="W30" s="492">
        <f t="shared" ref="W30:W38" si="18">S30+$E$13</f>
        <v>130.00000000000003</v>
      </c>
      <c r="X30" s="473">
        <f>T30+$E$13</f>
        <v>130.00000000000003</v>
      </c>
      <c r="Y30" s="316">
        <f t="shared" ref="Y30:Y38" si="19">SUM(Q30,S30)</f>
        <v>137.90918822575981</v>
      </c>
      <c r="Z30" s="232">
        <f t="shared" si="4"/>
        <v>137.90918822575981</v>
      </c>
      <c r="AA30" s="231">
        <f t="shared" si="5"/>
        <v>160.09081177424025</v>
      </c>
      <c r="AB30" s="317">
        <f t="shared" si="6"/>
        <v>160.09081177424025</v>
      </c>
      <c r="AC30" s="82">
        <f t="shared" ref="AC30:AC37" si="20">$E$23*$E$22*LN(EXP($E30/$E$22) + EXP($F30/$E$22) + EXP($G30/$E$22) +EXP($H30/$E$22) )</f>
        <v>597.90984268729403</v>
      </c>
      <c r="AD30" s="206">
        <f t="shared" si="7"/>
        <v>184.79412307356665</v>
      </c>
      <c r="AE30" s="194"/>
      <c r="AF30" s="114">
        <f>I30-I29</f>
        <v>-0.11552928931500242</v>
      </c>
      <c r="AG30" s="100">
        <f>L30-L29</f>
        <v>0.1155292893150025</v>
      </c>
      <c r="AH30" s="182">
        <f t="shared" ref="AH30:AH37" si="21">AD30</f>
        <v>184.79412307356665</v>
      </c>
      <c r="AI30" s="7"/>
      <c r="AJ30" s="7" t="str">
        <f t="shared" ref="AJ30:AJ37" si="22">IF(AF30&gt;0,"Bought ",IF(AF30&lt;0,"Sold ",""))&amp;IF(AF30&lt;0,AF30*-1,IF(AF30&gt;0,AF30,""))&amp;IF(AF30&lt;&gt;0," Shares of State 1 at a cost of "&amp;ROUND($AD30,5),"")</f>
        <v>Sold 0.115529289315002 Shares of State 1 at a cost of 184.79412</v>
      </c>
      <c r="AK30" s="7" t="str">
        <f t="shared" ref="AK30:AK37" si="23">IF(AG30&gt;0,"Bought ",IF(AG30&lt;0,"Sold ",""))&amp;IF(AG30&lt;0,AG30*-1,IF(AG30&gt;0,AG30,""))&amp;IF(AG30&lt;&gt;0," Shares of State 2 at a cost of "&amp;ROUND($AD30,5),"")</f>
        <v>Bought 0.115529289315003 Shares of State 2 at a cost of 184.79412</v>
      </c>
      <c r="AL30" s="185" t="str">
        <f t="shared" ref="AL30:AL37" si="24">AJ30&amp;AK30</f>
        <v>Sold 0.115529289315002 Shares of State 1 at a cost of 184.79412Bought 0.115529289315003 Shares of State 2 at a cost of 184.79412</v>
      </c>
      <c r="AM30" s="7" t="s">
        <v>224</v>
      </c>
      <c r="AN30" s="495">
        <f>R38/R29</f>
        <v>2</v>
      </c>
      <c r="AO30" s="7"/>
      <c r="AP30" s="7"/>
      <c r="AQ30" s="7"/>
      <c r="AR30" s="7"/>
      <c r="AS30" s="7"/>
      <c r="AT30" s="7"/>
      <c r="AU30" s="7"/>
      <c r="AV30" s="7"/>
    </row>
    <row r="31" spans="2:48" ht="18.75" x14ac:dyDescent="0.3">
      <c r="C31" s="21"/>
      <c r="D31" s="25">
        <v>3</v>
      </c>
      <c r="E31" s="316">
        <v>6</v>
      </c>
      <c r="F31" s="232">
        <v>8</v>
      </c>
      <c r="G31" s="231">
        <v>6</v>
      </c>
      <c r="H31" s="317">
        <v>8</v>
      </c>
      <c r="I31" s="326">
        <f t="shared" si="0"/>
        <v>5.9601461011058773E-2</v>
      </c>
      <c r="J31" s="228">
        <f t="shared" si="1"/>
        <v>0.44039853898894121</v>
      </c>
      <c r="K31" s="227">
        <f t="shared" si="2"/>
        <v>5.9601461011058773E-2</v>
      </c>
      <c r="L31" s="327">
        <f t="shared" si="3"/>
        <v>0.44039853898894121</v>
      </c>
      <c r="M31" s="487">
        <f t="shared" si="8"/>
        <v>0.5</v>
      </c>
      <c r="N31" s="1047">
        <f t="shared" si="9"/>
        <v>0.5</v>
      </c>
      <c r="O31" s="1055">
        <f t="shared" si="10"/>
        <v>0.11920292202211755</v>
      </c>
      <c r="P31" s="473">
        <f t="shared" si="11"/>
        <v>0.88079707797788243</v>
      </c>
      <c r="Q31" s="487">
        <f t="shared" si="12"/>
        <v>24</v>
      </c>
      <c r="R31" s="1048">
        <f t="shared" si="13"/>
        <v>24</v>
      </c>
      <c r="S31" s="492">
        <f t="shared" si="14"/>
        <v>29.800730505529387</v>
      </c>
      <c r="T31" s="473">
        <f t="shared" si="15"/>
        <v>220.1992694944706</v>
      </c>
      <c r="U31" s="487">
        <f t="shared" si="16"/>
        <v>26</v>
      </c>
      <c r="V31" s="1048">
        <f t="shared" si="17"/>
        <v>26</v>
      </c>
      <c r="W31" s="492">
        <f t="shared" si="18"/>
        <v>34.800730505529387</v>
      </c>
      <c r="X31" s="473">
        <f t="shared" ref="X31:X38" si="25">T31+$E$13</f>
        <v>225.1992694944706</v>
      </c>
      <c r="Y31" s="316">
        <f t="shared" si="19"/>
        <v>53.800730505529387</v>
      </c>
      <c r="Z31" s="232">
        <f t="shared" si="4"/>
        <v>244.1992694944706</v>
      </c>
      <c r="AA31" s="231">
        <f t="shared" si="5"/>
        <v>53.800730505529387</v>
      </c>
      <c r="AB31" s="317">
        <f t="shared" si="6"/>
        <v>244.1992694944706</v>
      </c>
      <c r="AC31" s="82">
        <f>$E$23*$E$22*LN(EXP($E31/$E$22) + EXP($F31/$E$22) + EXP($G31/$E$22) +EXP($H31/$E$22) )</f>
        <v>2628.3824070976693</v>
      </c>
      <c r="AD31" s="206">
        <f t="shared" si="7"/>
        <v>2030.4725644103753</v>
      </c>
      <c r="AE31" s="194"/>
      <c r="AF31" s="114">
        <f>I31-I30</f>
        <v>-7.4869249673938806E-2</v>
      </c>
      <c r="AG31" s="100">
        <f>L31-L30</f>
        <v>7.4869249673938709E-2</v>
      </c>
      <c r="AH31" s="182">
        <f t="shared" si="21"/>
        <v>2030.4725644103753</v>
      </c>
      <c r="AI31" s="7"/>
      <c r="AJ31" s="7" t="str">
        <f t="shared" si="22"/>
        <v>Sold 0.0748692496739388 Shares of State 1 at a cost of 2030.47256</v>
      </c>
      <c r="AK31" s="7" t="str">
        <f t="shared" si="23"/>
        <v>Bought 0.0748692496739387 Shares of State 2 at a cost of 2030.47256</v>
      </c>
      <c r="AL31" s="185" t="str">
        <f t="shared" si="24"/>
        <v>Sold 0.0748692496739388 Shares of State 1 at a cost of 2030.47256Bought 0.0748692496739387 Shares of State 2 at a cost of 2030.47256</v>
      </c>
      <c r="AN31" s="7" t="s">
        <v>173</v>
      </c>
      <c r="AO31" s="7" t="s">
        <v>174</v>
      </c>
      <c r="AP31" t="s">
        <v>227</v>
      </c>
      <c r="AU31" s="7"/>
      <c r="AV31" s="7"/>
    </row>
    <row r="32" spans="2:48" ht="18.75" x14ac:dyDescent="0.3">
      <c r="C32" s="21"/>
      <c r="D32" s="25">
        <v>4</v>
      </c>
      <c r="E32" s="316">
        <v>6</v>
      </c>
      <c r="F32" s="232">
        <v>8</v>
      </c>
      <c r="G32" s="231">
        <v>5</v>
      </c>
      <c r="H32" s="317">
        <v>7</v>
      </c>
      <c r="I32" s="326">
        <f t="shared" si="0"/>
        <v>8.7144318742032559E-2</v>
      </c>
      <c r="J32" s="228">
        <f t="shared" si="1"/>
        <v>0.64391425988797235</v>
      </c>
      <c r="K32" s="227">
        <f t="shared" si="2"/>
        <v>3.2058603280084988E-2</v>
      </c>
      <c r="L32" s="327">
        <f t="shared" si="3"/>
        <v>0.2368828180899101</v>
      </c>
      <c r="M32" s="487">
        <f t="shared" si="8"/>
        <v>0.7310585786300049</v>
      </c>
      <c r="N32" s="1047">
        <f t="shared" si="9"/>
        <v>0.2689414213699951</v>
      </c>
      <c r="O32" s="1055">
        <f t="shared" si="10"/>
        <v>0.11920292202211755</v>
      </c>
      <c r="P32" s="473">
        <f t="shared" si="11"/>
        <v>0.88079707797788243</v>
      </c>
      <c r="Q32" s="487">
        <f t="shared" si="12"/>
        <v>35.090811774240237</v>
      </c>
      <c r="R32" s="1048">
        <f t="shared" si="13"/>
        <v>12.909188225759765</v>
      </c>
      <c r="S32" s="492">
        <f t="shared" si="14"/>
        <v>29.800730505529387</v>
      </c>
      <c r="T32" s="473">
        <f t="shared" si="15"/>
        <v>220.1992694944706</v>
      </c>
      <c r="U32" s="487">
        <f t="shared" si="16"/>
        <v>37.090811774240237</v>
      </c>
      <c r="V32" s="1048">
        <f t="shared" si="17"/>
        <v>14.909188225759765</v>
      </c>
      <c r="W32" s="492">
        <f t="shared" si="18"/>
        <v>34.800730505529387</v>
      </c>
      <c r="X32" s="473">
        <f t="shared" si="25"/>
        <v>225.1992694944706</v>
      </c>
      <c r="Y32" s="316">
        <f t="shared" si="19"/>
        <v>64.891542279769624</v>
      </c>
      <c r="Z32" s="232">
        <f t="shared" si="4"/>
        <v>255.29008126871082</v>
      </c>
      <c r="AA32" s="231">
        <f t="shared" si="5"/>
        <v>42.70991873128915</v>
      </c>
      <c r="AB32" s="317">
        <f t="shared" si="6"/>
        <v>233.10845772023038</v>
      </c>
      <c r="AC32" s="82">
        <f t="shared" si="20"/>
        <v>2515.1765301712362</v>
      </c>
      <c r="AD32" s="206">
        <f t="shared" si="7"/>
        <v>-113.20587692643312</v>
      </c>
      <c r="AE32" s="194"/>
      <c r="AF32" s="114">
        <f>I32-I31</f>
        <v>2.7542857730973785E-2</v>
      </c>
      <c r="AG32" s="100">
        <f>L32-L31</f>
        <v>-0.20351572089903111</v>
      </c>
      <c r="AH32" s="182">
        <f t="shared" si="21"/>
        <v>-113.20587692643312</v>
      </c>
      <c r="AI32" s="7"/>
      <c r="AJ32" s="7" t="str">
        <f t="shared" si="22"/>
        <v>Bought 0.0275428577309738 Shares of State 1 at a cost of -113.20588</v>
      </c>
      <c r="AK32" s="7" t="str">
        <f t="shared" si="23"/>
        <v>Sold 0.203515720899031 Shares of State 2 at a cost of -113.20588</v>
      </c>
      <c r="AL32" s="185" t="str">
        <f t="shared" si="24"/>
        <v>Bought 0.0275428577309738 Shares of State 1 at a cost of -113.20588Sold 0.203515720899031 Shares of State 2 at a cost of -113.20588</v>
      </c>
      <c r="AM32" s="7" t="s">
        <v>172</v>
      </c>
      <c r="AN32" s="496">
        <f>AD30</f>
        <v>184.79412307356665</v>
      </c>
      <c r="AO32" s="497">
        <f>SUM(AA38:AB38)</f>
        <v>346</v>
      </c>
      <c r="AP32" s="498">
        <f>AO32/AN32</f>
        <v>1.8723539160509839</v>
      </c>
      <c r="AQ32" s="7" t="s">
        <v>228</v>
      </c>
      <c r="AU32" s="7"/>
      <c r="AV32" s="7"/>
    </row>
    <row r="33" spans="2:48" ht="18.75" customHeight="1" x14ac:dyDescent="0.3">
      <c r="C33" s="865"/>
      <c r="D33" s="25">
        <v>5</v>
      </c>
      <c r="E33" s="316">
        <v>6</v>
      </c>
      <c r="F33" s="232">
        <v>8</v>
      </c>
      <c r="G33" s="231">
        <v>5</v>
      </c>
      <c r="H33" s="317">
        <v>7</v>
      </c>
      <c r="I33" s="326">
        <f t="shared" si="0"/>
        <v>8.7144318742032559E-2</v>
      </c>
      <c r="J33" s="228">
        <f t="shared" si="1"/>
        <v>0.64391425988797235</v>
      </c>
      <c r="K33" s="227">
        <f t="shared" si="2"/>
        <v>3.2058603280084988E-2</v>
      </c>
      <c r="L33" s="327">
        <f t="shared" si="3"/>
        <v>0.2368828180899101</v>
      </c>
      <c r="M33" s="487">
        <f t="shared" si="8"/>
        <v>0.7310585786300049</v>
      </c>
      <c r="N33" s="1047">
        <f t="shared" si="9"/>
        <v>0.2689414213699951</v>
      </c>
      <c r="O33" s="1055">
        <f t="shared" si="10"/>
        <v>0.11920292202211755</v>
      </c>
      <c r="P33" s="473">
        <f t="shared" si="11"/>
        <v>0.88079707797788243</v>
      </c>
      <c r="Q33" s="487">
        <f t="shared" si="12"/>
        <v>35.090811774240237</v>
      </c>
      <c r="R33" s="1048">
        <f t="shared" si="13"/>
        <v>12.909188225759765</v>
      </c>
      <c r="S33" s="492">
        <f t="shared" si="14"/>
        <v>29.800730505529387</v>
      </c>
      <c r="T33" s="473">
        <f t="shared" si="15"/>
        <v>220.1992694944706</v>
      </c>
      <c r="U33" s="487">
        <f t="shared" si="16"/>
        <v>37.090811774240237</v>
      </c>
      <c r="V33" s="1048">
        <f t="shared" si="17"/>
        <v>14.909188225759765</v>
      </c>
      <c r="W33" s="492">
        <f t="shared" si="18"/>
        <v>34.800730505529387</v>
      </c>
      <c r="X33" s="473">
        <f t="shared" si="25"/>
        <v>225.1992694944706</v>
      </c>
      <c r="Y33" s="316">
        <f t="shared" si="19"/>
        <v>64.891542279769624</v>
      </c>
      <c r="Z33" s="232">
        <f t="shared" si="4"/>
        <v>255.29008126871082</v>
      </c>
      <c r="AA33" s="231">
        <f t="shared" si="5"/>
        <v>42.70991873128915</v>
      </c>
      <c r="AB33" s="317">
        <f t="shared" si="6"/>
        <v>233.10845772023038</v>
      </c>
      <c r="AC33" s="82">
        <f t="shared" si="20"/>
        <v>2515.1765301712362</v>
      </c>
      <c r="AD33" s="206">
        <f t="shared" si="7"/>
        <v>0</v>
      </c>
      <c r="AE33" s="194"/>
      <c r="AF33" s="114">
        <f>I33-I32</f>
        <v>0</v>
      </c>
      <c r="AG33" s="100">
        <f>L33-L32</f>
        <v>0</v>
      </c>
      <c r="AH33" s="182">
        <f t="shared" si="21"/>
        <v>0</v>
      </c>
      <c r="AI33" s="7"/>
      <c r="AJ33" s="7" t="str">
        <f t="shared" si="22"/>
        <v/>
      </c>
      <c r="AK33" s="7" t="str">
        <f t="shared" si="23"/>
        <v/>
      </c>
      <c r="AL33" s="185" t="str">
        <f t="shared" si="24"/>
        <v/>
      </c>
      <c r="AM33" s="8" t="s">
        <v>175</v>
      </c>
      <c r="AN33" s="499">
        <f>SUM(AA29:AB29)</f>
        <v>298</v>
      </c>
      <c r="AO33" s="160">
        <f>SUM(AA38:AB38)</f>
        <v>346</v>
      </c>
      <c r="AP33" s="500">
        <f>AO33/AN33</f>
        <v>1.1610738255033557</v>
      </c>
      <c r="AQ33" s="7" t="s">
        <v>226</v>
      </c>
      <c r="AU33" s="7"/>
      <c r="AV33" s="7"/>
    </row>
    <row r="34" spans="2:48" ht="18.75" customHeight="1" x14ac:dyDescent="0.3">
      <c r="B34" s="1609" t="s">
        <v>383</v>
      </c>
      <c r="C34" s="1609"/>
      <c r="D34" s="25">
        <v>6</v>
      </c>
      <c r="E34" s="839">
        <v>7</v>
      </c>
      <c r="F34" s="840">
        <v>9</v>
      </c>
      <c r="G34" s="840">
        <v>6</v>
      </c>
      <c r="H34" s="841">
        <v>8</v>
      </c>
      <c r="I34" s="326">
        <f t="shared" si="0"/>
        <v>8.7144318742032559E-2</v>
      </c>
      <c r="J34" s="228">
        <f t="shared" si="1"/>
        <v>0.64391425988797235</v>
      </c>
      <c r="K34" s="227">
        <f t="shared" si="2"/>
        <v>3.2058603280084988E-2</v>
      </c>
      <c r="L34" s="327">
        <f t="shared" si="3"/>
        <v>0.23688281808991013</v>
      </c>
      <c r="M34" s="487">
        <f t="shared" si="8"/>
        <v>0.7310585786300049</v>
      </c>
      <c r="N34" s="1047">
        <f t="shared" si="9"/>
        <v>0.2689414213699951</v>
      </c>
      <c r="O34" s="1055">
        <f t="shared" si="10"/>
        <v>0.11920292202211755</v>
      </c>
      <c r="P34" s="473">
        <f t="shared" si="11"/>
        <v>0.88079707797788243</v>
      </c>
      <c r="Q34" s="487">
        <f t="shared" si="12"/>
        <v>35.090811774240237</v>
      </c>
      <c r="R34" s="1048">
        <f t="shared" si="13"/>
        <v>12.909188225759765</v>
      </c>
      <c r="S34" s="492">
        <f t="shared" si="14"/>
        <v>29.800730505529387</v>
      </c>
      <c r="T34" s="473">
        <f t="shared" si="15"/>
        <v>220.1992694944706</v>
      </c>
      <c r="U34" s="487">
        <f t="shared" si="16"/>
        <v>37.090811774240237</v>
      </c>
      <c r="V34" s="1048">
        <f t="shared" si="17"/>
        <v>14.909188225759765</v>
      </c>
      <c r="W34" s="492">
        <f t="shared" si="18"/>
        <v>34.800730505529387</v>
      </c>
      <c r="X34" s="473">
        <f t="shared" si="25"/>
        <v>225.1992694944706</v>
      </c>
      <c r="Y34" s="316">
        <f t="shared" si="19"/>
        <v>64.891542279769624</v>
      </c>
      <c r="Z34" s="232">
        <f t="shared" si="4"/>
        <v>255.29008126871082</v>
      </c>
      <c r="AA34" s="231">
        <f t="shared" si="5"/>
        <v>42.70991873128915</v>
      </c>
      <c r="AB34" s="317">
        <f t="shared" si="6"/>
        <v>233.10845772023038</v>
      </c>
      <c r="AC34" s="82">
        <f t="shared" si="20"/>
        <v>2813.1765301712362</v>
      </c>
      <c r="AD34" s="838">
        <f t="shared" si="7"/>
        <v>298</v>
      </c>
      <c r="AE34" s="194"/>
      <c r="AF34" s="114">
        <f>I34-I31</f>
        <v>2.7542857730973785E-2</v>
      </c>
      <c r="AG34" s="100">
        <f>L34-L31</f>
        <v>-0.20351572089903108</v>
      </c>
      <c r="AH34" s="182">
        <f t="shared" si="21"/>
        <v>298</v>
      </c>
      <c r="AI34" s="7"/>
      <c r="AJ34" s="7" t="str">
        <f t="shared" si="22"/>
        <v>Bought 0.0275428577309738 Shares of State 1 at a cost of 298</v>
      </c>
      <c r="AK34" s="7" t="str">
        <f t="shared" si="23"/>
        <v>Sold 0.203515720899031 Shares of State 2 at a cost of 298</v>
      </c>
      <c r="AL34" s="185" t="str">
        <f t="shared" si="24"/>
        <v>Bought 0.0275428577309738 Shares of State 1 at a cost of 298Sold 0.203515720899031 Shares of State 2 at a cost of 298</v>
      </c>
      <c r="AM34" s="8" t="s">
        <v>88</v>
      </c>
      <c r="AN34" s="499">
        <f>AN32-$E$15</f>
        <v>-65.205876926433348</v>
      </c>
      <c r="AO34" s="160">
        <f>AO32-$E$15</f>
        <v>96</v>
      </c>
      <c r="AP34" s="500">
        <f>AO34/AN34</f>
        <v>-1.4722599330779529</v>
      </c>
      <c r="AQ34" s="7" t="s">
        <v>223</v>
      </c>
      <c r="AU34" s="7"/>
      <c r="AV34" s="7"/>
    </row>
    <row r="35" spans="2:48" ht="18.75" x14ac:dyDescent="0.3">
      <c r="B35" s="1609"/>
      <c r="C35" s="1609"/>
      <c r="D35" s="25">
        <v>16</v>
      </c>
      <c r="E35" s="316">
        <v>1</v>
      </c>
      <c r="F35" s="232">
        <v>99</v>
      </c>
      <c r="G35" s="231">
        <v>1</v>
      </c>
      <c r="H35" s="317">
        <v>1</v>
      </c>
      <c r="I35" s="326">
        <f t="shared" si="0"/>
        <v>2.7487850079102147E-43</v>
      </c>
      <c r="J35" s="228">
        <f t="shared" si="1"/>
        <v>1</v>
      </c>
      <c r="K35" s="227">
        <f t="shared" si="2"/>
        <v>2.7487850079102147E-43</v>
      </c>
      <c r="L35" s="327">
        <f t="shared" si="3"/>
        <v>2.7487850079102147E-43</v>
      </c>
      <c r="M35" s="487">
        <f t="shared" si="8"/>
        <v>1</v>
      </c>
      <c r="N35" s="1047">
        <f t="shared" si="9"/>
        <v>5.4975700158204295E-43</v>
      </c>
      <c r="O35" s="1055">
        <f t="shared" si="10"/>
        <v>5.4975700158204295E-43</v>
      </c>
      <c r="P35" s="473">
        <f>SUM(J35,L35)</f>
        <v>1</v>
      </c>
      <c r="Q35" s="487">
        <f t="shared" si="12"/>
        <v>48</v>
      </c>
      <c r="R35" s="1048">
        <f t="shared" si="13"/>
        <v>2.6388336075938062E-41</v>
      </c>
      <c r="S35" s="492">
        <f t="shared" si="14"/>
        <v>1.3743925039551074E-40</v>
      </c>
      <c r="T35" s="473">
        <f t="shared" si="15"/>
        <v>250</v>
      </c>
      <c r="U35" s="487">
        <f t="shared" si="16"/>
        <v>50</v>
      </c>
      <c r="V35" s="1048">
        <f t="shared" si="17"/>
        <v>2</v>
      </c>
      <c r="W35" s="492">
        <f t="shared" si="18"/>
        <v>5</v>
      </c>
      <c r="X35" s="473">
        <f t="shared" si="25"/>
        <v>255</v>
      </c>
      <c r="Y35" s="316">
        <f t="shared" si="19"/>
        <v>48</v>
      </c>
      <c r="Z35" s="232">
        <f t="shared" si="4"/>
        <v>298</v>
      </c>
      <c r="AA35" s="231">
        <f t="shared" si="5"/>
        <v>1.6382758647144881E-40</v>
      </c>
      <c r="AB35" s="317">
        <f t="shared" si="6"/>
        <v>250</v>
      </c>
      <c r="AC35" s="82">
        <f t="shared" si="20"/>
        <v>29502</v>
      </c>
      <c r="AD35" s="206">
        <f t="shared" si="7"/>
        <v>26688.823469828763</v>
      </c>
      <c r="AE35" s="194"/>
      <c r="AF35" s="476">
        <f>I35-I32</f>
        <v>-8.7144318742032559E-2</v>
      </c>
      <c r="AG35" s="100">
        <f>L35-L32</f>
        <v>-0.2368828180899101</v>
      </c>
      <c r="AH35" s="182">
        <f t="shared" si="21"/>
        <v>26688.823469828763</v>
      </c>
      <c r="AI35" s="7"/>
      <c r="AJ35" s="7" t="str">
        <f t="shared" si="22"/>
        <v>Sold 0.0871443187420326 Shares of State 1 at a cost of 26688.82347</v>
      </c>
      <c r="AK35" s="7" t="str">
        <f t="shared" si="23"/>
        <v>Sold 0.23688281808991 Shares of State 2 at a cost of 26688.82347</v>
      </c>
      <c r="AL35" s="185" t="str">
        <f t="shared" si="24"/>
        <v>Sold 0.0871443187420326 Shares of State 1 at a cost of 26688.82347Sold 0.23688281808991 Shares of State 2 at a cost of 26688.82347</v>
      </c>
      <c r="AM35" s="8" t="s">
        <v>178</v>
      </c>
      <c r="AN35" s="501">
        <f>AN33-$E$15</f>
        <v>48</v>
      </c>
      <c r="AO35" s="502">
        <f>AO33-$E$15</f>
        <v>96</v>
      </c>
      <c r="AP35" s="503">
        <f>AO35/AN35</f>
        <v>2</v>
      </c>
      <c r="AQ35" s="7" t="s">
        <v>225</v>
      </c>
      <c r="AU35" s="7"/>
      <c r="AV35" s="7"/>
    </row>
    <row r="36" spans="2:48" ht="18.75" x14ac:dyDescent="0.3">
      <c r="C36" s="21"/>
      <c r="D36" s="25">
        <v>17</v>
      </c>
      <c r="E36" s="316">
        <v>6</v>
      </c>
      <c r="F36" s="232">
        <v>8</v>
      </c>
      <c r="G36" s="231">
        <v>5</v>
      </c>
      <c r="H36" s="317">
        <v>7</v>
      </c>
      <c r="I36" s="326">
        <f t="shared" si="0"/>
        <v>8.7144318742032559E-2</v>
      </c>
      <c r="J36" s="228">
        <f t="shared" si="1"/>
        <v>0.64391425988797235</v>
      </c>
      <c r="K36" s="227">
        <f t="shared" si="2"/>
        <v>3.2058603280084988E-2</v>
      </c>
      <c r="L36" s="327">
        <f t="shared" si="3"/>
        <v>0.2368828180899101</v>
      </c>
      <c r="M36" s="487">
        <f t="shared" si="8"/>
        <v>0.7310585786300049</v>
      </c>
      <c r="N36" s="1047">
        <f t="shared" si="9"/>
        <v>0.2689414213699951</v>
      </c>
      <c r="O36" s="1055">
        <f t="shared" si="10"/>
        <v>0.11920292202211755</v>
      </c>
      <c r="P36" s="473">
        <f t="shared" si="11"/>
        <v>0.88079707797788243</v>
      </c>
      <c r="Q36" s="487">
        <f t="shared" si="12"/>
        <v>35.090811774240237</v>
      </c>
      <c r="R36" s="1048">
        <f t="shared" si="13"/>
        <v>12.909188225759765</v>
      </c>
      <c r="S36" s="492">
        <f t="shared" si="14"/>
        <v>29.800730505529387</v>
      </c>
      <c r="T36" s="473">
        <f t="shared" si="15"/>
        <v>220.1992694944706</v>
      </c>
      <c r="U36" s="487">
        <f t="shared" si="16"/>
        <v>37.090811774240237</v>
      </c>
      <c r="V36" s="1048">
        <f t="shared" si="17"/>
        <v>14.909188225759765</v>
      </c>
      <c r="W36" s="492">
        <f t="shared" si="18"/>
        <v>34.800730505529387</v>
      </c>
      <c r="X36" s="473">
        <f t="shared" si="25"/>
        <v>225.1992694944706</v>
      </c>
      <c r="Y36" s="316">
        <f t="shared" si="19"/>
        <v>64.891542279769624</v>
      </c>
      <c r="Z36" s="232">
        <f t="shared" si="4"/>
        <v>255.29008126871082</v>
      </c>
      <c r="AA36" s="231">
        <f t="shared" si="5"/>
        <v>42.70991873128915</v>
      </c>
      <c r="AB36" s="317">
        <f t="shared" si="6"/>
        <v>233.10845772023038</v>
      </c>
      <c r="AC36" s="82">
        <f t="shared" si="20"/>
        <v>2515.1765301712362</v>
      </c>
      <c r="AD36" s="206">
        <f t="shared" si="7"/>
        <v>-26986.823469828763</v>
      </c>
      <c r="AE36" s="194"/>
      <c r="AF36" s="114">
        <f>I36-I35</f>
        <v>8.7144318742032559E-2</v>
      </c>
      <c r="AG36" s="100">
        <f>L36-L35</f>
        <v>0.2368828180899101</v>
      </c>
      <c r="AH36" s="182">
        <f t="shared" si="21"/>
        <v>-26986.823469828763</v>
      </c>
      <c r="AI36" s="7"/>
      <c r="AJ36" s="7" t="str">
        <f t="shared" si="22"/>
        <v>Bought 0.0871443187420326 Shares of State 1 at a cost of -26986.82347</v>
      </c>
      <c r="AK36" s="7" t="str">
        <f t="shared" si="23"/>
        <v>Bought 0.23688281808991 Shares of State 2 at a cost of -26986.82347</v>
      </c>
      <c r="AL36" s="185" t="str">
        <f t="shared" si="24"/>
        <v>Bought 0.0871443187420326 Shares of State 1 at a cost of -26986.82347Bought 0.23688281808991 Shares of State 2 at a cost of -26986.82347</v>
      </c>
      <c r="AM36" s="7"/>
      <c r="AN36" s="7"/>
      <c r="AO36" s="7"/>
      <c r="AP36" s="7"/>
      <c r="AQ36" s="7"/>
      <c r="AR36" s="7"/>
      <c r="AS36" s="7"/>
      <c r="AT36" s="7"/>
      <c r="AU36" s="7"/>
      <c r="AV36" s="7"/>
    </row>
    <row r="37" spans="2:48" ht="19.5" thickBot="1" x14ac:dyDescent="0.35">
      <c r="C37" s="21"/>
      <c r="D37" s="25">
        <v>18</v>
      </c>
      <c r="E37" s="318">
        <v>8</v>
      </c>
      <c r="F37" s="224">
        <v>7</v>
      </c>
      <c r="G37" s="223">
        <v>8</v>
      </c>
      <c r="H37" s="319">
        <v>7</v>
      </c>
      <c r="I37" s="328">
        <f t="shared" si="0"/>
        <v>0.3655292893150025</v>
      </c>
      <c r="J37" s="220">
        <f t="shared" si="1"/>
        <v>0.13447071068499755</v>
      </c>
      <c r="K37" s="219">
        <f t="shared" si="2"/>
        <v>0.3655292893150025</v>
      </c>
      <c r="L37" s="329">
        <f t="shared" si="3"/>
        <v>0.13447071068499755</v>
      </c>
      <c r="M37" s="488">
        <f t="shared" si="8"/>
        <v>0.5</v>
      </c>
      <c r="N37" s="1053">
        <f t="shared" si="9"/>
        <v>0.5</v>
      </c>
      <c r="O37" s="1057">
        <f t="shared" si="10"/>
        <v>0.73105857863000501</v>
      </c>
      <c r="P37" s="474">
        <f t="shared" si="11"/>
        <v>0.2689414213699951</v>
      </c>
      <c r="Q37" s="488">
        <f t="shared" si="12"/>
        <v>24</v>
      </c>
      <c r="R37" s="1050">
        <f t="shared" si="13"/>
        <v>24</v>
      </c>
      <c r="S37" s="493">
        <f t="shared" si="14"/>
        <v>182.76464465750126</v>
      </c>
      <c r="T37" s="474">
        <f t="shared" si="15"/>
        <v>67.235355342498778</v>
      </c>
      <c r="U37" s="488">
        <f t="shared" si="16"/>
        <v>26</v>
      </c>
      <c r="V37" s="1050">
        <f t="shared" si="17"/>
        <v>26</v>
      </c>
      <c r="W37" s="493">
        <f t="shared" si="18"/>
        <v>187.76464465750126</v>
      </c>
      <c r="X37" s="474">
        <f t="shared" si="25"/>
        <v>72.235355342498778</v>
      </c>
      <c r="Y37" s="318">
        <f t="shared" si="19"/>
        <v>206.76464465750126</v>
      </c>
      <c r="Z37" s="224">
        <f t="shared" si="4"/>
        <v>91.235355342498778</v>
      </c>
      <c r="AA37" s="223">
        <f t="shared" si="5"/>
        <v>206.76464465750126</v>
      </c>
      <c r="AB37" s="319">
        <f t="shared" si="6"/>
        <v>91.235355342498778</v>
      </c>
      <c r="AC37" s="112">
        <f t="shared" si="20"/>
        <v>2683.9098426872943</v>
      </c>
      <c r="AD37" s="505">
        <f t="shared" si="7"/>
        <v>168.73331251605805</v>
      </c>
      <c r="AE37" s="194"/>
      <c r="AF37" s="119">
        <f>I37-I36</f>
        <v>0.27838497057296996</v>
      </c>
      <c r="AG37" s="102">
        <f>L37-L36</f>
        <v>-0.10241210740491255</v>
      </c>
      <c r="AH37" s="182">
        <f t="shared" si="21"/>
        <v>168.73331251605805</v>
      </c>
      <c r="AI37" s="7"/>
      <c r="AJ37" s="7" t="str">
        <f t="shared" si="22"/>
        <v>Bought 0.27838497057297 Shares of State 1 at a cost of 168.73331</v>
      </c>
      <c r="AK37" s="7" t="str">
        <f t="shared" si="23"/>
        <v>Sold 0.102412107404913 Shares of State 2 at a cost of 168.73331</v>
      </c>
      <c r="AL37" s="185" t="str">
        <f t="shared" si="24"/>
        <v>Bought 0.27838497057297 Shares of State 1 at a cost of 168.73331Sold 0.102412107404913 Shares of State 2 at a cost of 168.73331</v>
      </c>
      <c r="AM37" s="7"/>
      <c r="AN37" s="7"/>
      <c r="AO37" s="7"/>
      <c r="AP37" s="7"/>
      <c r="AQ37" s="7"/>
      <c r="AR37" s="7"/>
      <c r="AS37" s="7"/>
      <c r="AT37" s="7"/>
      <c r="AU37" s="7"/>
      <c r="AV37" s="7"/>
    </row>
    <row r="38" spans="2:48" ht="16.5" thickTop="1" thickBot="1" x14ac:dyDescent="0.3">
      <c r="C38" s="7"/>
      <c r="D38" s="25" t="s">
        <v>97</v>
      </c>
      <c r="E38" s="320">
        <f>E37</f>
        <v>8</v>
      </c>
      <c r="F38" s="321">
        <f>F37</f>
        <v>7</v>
      </c>
      <c r="G38" s="322">
        <f>G37</f>
        <v>8</v>
      </c>
      <c r="H38" s="323">
        <f>H37</f>
        <v>7</v>
      </c>
      <c r="I38" s="469">
        <f>F41*F42</f>
        <v>0</v>
      </c>
      <c r="J38" s="470">
        <f>E42*F41</f>
        <v>0</v>
      </c>
      <c r="K38" s="470">
        <f>E41*F42</f>
        <v>0</v>
      </c>
      <c r="L38" s="471">
        <f>E41*E42</f>
        <v>1</v>
      </c>
      <c r="M38" s="489">
        <f>SUM(I38:J38)</f>
        <v>0</v>
      </c>
      <c r="N38" s="1054">
        <f t="shared" si="9"/>
        <v>1</v>
      </c>
      <c r="O38" s="1058">
        <f t="shared" si="10"/>
        <v>0</v>
      </c>
      <c r="P38" s="475">
        <f t="shared" si="11"/>
        <v>1</v>
      </c>
      <c r="Q38" s="489">
        <f t="shared" si="12"/>
        <v>0</v>
      </c>
      <c r="R38" s="1051">
        <f t="shared" si="13"/>
        <v>48</v>
      </c>
      <c r="S38" s="494">
        <f t="shared" si="14"/>
        <v>0</v>
      </c>
      <c r="T38" s="475">
        <f>P38*$E$15</f>
        <v>250</v>
      </c>
      <c r="U38" s="489">
        <f t="shared" si="16"/>
        <v>2</v>
      </c>
      <c r="V38" s="1051">
        <f t="shared" si="17"/>
        <v>50</v>
      </c>
      <c r="W38" s="494">
        <f t="shared" si="18"/>
        <v>5</v>
      </c>
      <c r="X38" s="475">
        <f t="shared" si="25"/>
        <v>255</v>
      </c>
      <c r="Y38" s="320">
        <f t="shared" si="19"/>
        <v>0</v>
      </c>
      <c r="Z38" s="321">
        <f t="shared" si="4"/>
        <v>250</v>
      </c>
      <c r="AA38" s="322">
        <f t="shared" si="5"/>
        <v>48</v>
      </c>
      <c r="AB38" s="323">
        <f t="shared" si="6"/>
        <v>298</v>
      </c>
      <c r="AC38" s="337">
        <f>$E$23*$E$22*LN(EXP($E38/$E$22) + EXP($F38/$E$22) + EXP($G38/$E$22) +EXP($H38/$E$22) )</f>
        <v>2683.9098426872943</v>
      </c>
      <c r="AD38" s="8" t="s">
        <v>229</v>
      </c>
      <c r="AE38" s="7"/>
      <c r="AF38" s="7"/>
      <c r="AG38" s="7"/>
      <c r="AH38" s="7"/>
      <c r="AI38" s="7"/>
      <c r="AJ38" s="7"/>
      <c r="AK38" s="8"/>
      <c r="AL38" s="8"/>
      <c r="AM38" s="8"/>
      <c r="AN38" s="8"/>
      <c r="AO38" s="8"/>
      <c r="AP38" s="7"/>
      <c r="AQ38" s="7"/>
      <c r="AR38" s="7"/>
      <c r="AS38" s="7"/>
      <c r="AT38" s="7"/>
      <c r="AU38" s="7"/>
      <c r="AV38" s="7"/>
    </row>
    <row r="39" spans="2:48" ht="15.75" thickBot="1" x14ac:dyDescent="0.3">
      <c r="N39" s="242"/>
      <c r="P39" s="242"/>
      <c r="R39" s="242"/>
      <c r="T39" s="242"/>
      <c r="V39" s="242"/>
      <c r="X39" s="1059"/>
      <c r="Y39" s="33"/>
      <c r="Z39" s="33"/>
      <c r="AA39" s="140"/>
      <c r="AB39" s="140"/>
      <c r="AC39" s="244">
        <f>SUMPRODUCT(I38:L38,Y38:AB38)</f>
        <v>298</v>
      </c>
      <c r="AD39" t="s">
        <v>109</v>
      </c>
      <c r="AE39" s="7"/>
      <c r="AF39" s="7"/>
      <c r="AG39" s="7"/>
      <c r="AH39" s="7"/>
      <c r="AI39" s="7"/>
      <c r="AJ39" s="7"/>
      <c r="AP39" s="7"/>
      <c r="AQ39" s="7"/>
      <c r="AR39" s="7"/>
      <c r="AS39" s="182"/>
      <c r="AT39" s="7"/>
      <c r="AU39" s="7"/>
      <c r="AV39" s="7"/>
    </row>
    <row r="40" spans="2:48" ht="15.75" thickBot="1" x14ac:dyDescent="0.3">
      <c r="C40" s="1"/>
      <c r="D40" s="150" t="s">
        <v>170</v>
      </c>
      <c r="E40" s="287" t="s">
        <v>150</v>
      </c>
      <c r="F40" s="237" t="s">
        <v>167</v>
      </c>
      <c r="G40" s="140"/>
      <c r="H40" s="17"/>
      <c r="I40" s="17"/>
      <c r="J40" s="278"/>
      <c r="K40" s="17"/>
      <c r="L40" s="278"/>
      <c r="N40" s="239"/>
      <c r="P40" s="239"/>
      <c r="Q40" s="17"/>
      <c r="R40" s="239"/>
      <c r="S40" s="17"/>
      <c r="T40" s="590"/>
      <c r="V40" s="239"/>
      <c r="X40" s="6"/>
      <c r="Y40" s="207"/>
      <c r="Z40" s="7"/>
      <c r="AA40" s="8"/>
      <c r="AB40" s="140"/>
      <c r="AC40" s="244">
        <f>AC38-AC39</f>
        <v>2385.9098426872943</v>
      </c>
      <c r="AD40" s="7" t="s">
        <v>102</v>
      </c>
      <c r="AE40" s="7"/>
      <c r="AF40" s="7"/>
      <c r="AG40" s="7"/>
      <c r="AH40" s="7"/>
      <c r="AI40" s="7"/>
      <c r="AJ40" s="7"/>
      <c r="AK40" s="7"/>
      <c r="AL40" s="7"/>
      <c r="AM40" s="7"/>
      <c r="AN40" s="7"/>
      <c r="AO40" s="7"/>
      <c r="AP40" s="7"/>
      <c r="AQ40" s="7"/>
      <c r="AR40" s="7"/>
      <c r="AS40" s="7"/>
      <c r="AT40" s="7"/>
      <c r="AU40" s="7"/>
      <c r="AV40" s="7"/>
    </row>
    <row r="41" spans="2:48" ht="15.75" thickBot="1" x14ac:dyDescent="0.3">
      <c r="C41" s="290" t="s">
        <v>168</v>
      </c>
      <c r="D41" s="462">
        <v>50</v>
      </c>
      <c r="E41" s="464">
        <f>(D41-$E$5)/$E$7</f>
        <v>1</v>
      </c>
      <c r="F41" s="465">
        <f>1-E41</f>
        <v>0</v>
      </c>
      <c r="G41" s="2"/>
      <c r="H41" s="260"/>
      <c r="I41" s="466">
        <f>F41*F42</f>
        <v>0</v>
      </c>
      <c r="J41" s="467">
        <f>E42*F41</f>
        <v>0</v>
      </c>
      <c r="K41" s="467">
        <f>E41*F42</f>
        <v>0</v>
      </c>
      <c r="L41" s="468">
        <f>E41*E42</f>
        <v>1</v>
      </c>
      <c r="N41" s="717">
        <f>SUM(M33:N33)</f>
        <v>1</v>
      </c>
      <c r="P41" s="717">
        <f>SUM(O33:P33)</f>
        <v>1</v>
      </c>
      <c r="Q41" s="188"/>
      <c r="R41" s="717">
        <f>SUM(Q33:R33)</f>
        <v>48</v>
      </c>
      <c r="T41" s="717">
        <f>SUM(S33:T33)</f>
        <v>250</v>
      </c>
      <c r="U41" s="188"/>
      <c r="V41" s="717">
        <f>SUM(U33-$E$5,V33-$E$5)</f>
        <v>48</v>
      </c>
      <c r="X41" s="717">
        <f>SUM(W33-$E$13,X33-$E$13)</f>
        <v>250</v>
      </c>
      <c r="Y41" s="188">
        <f>SUM(Y35:AB35)</f>
        <v>596</v>
      </c>
      <c r="Z41" s="188"/>
      <c r="AA41" s="188"/>
      <c r="AB41" s="188"/>
      <c r="AC41" s="246">
        <f>AC29-AC40</f>
        <v>-1972.7941230735669</v>
      </c>
      <c r="AD41" s="54" t="s">
        <v>103</v>
      </c>
      <c r="AE41" s="7"/>
      <c r="AF41" s="7"/>
      <c r="AG41" s="7"/>
      <c r="AH41" s="7"/>
      <c r="AI41" s="8"/>
      <c r="AJ41" s="8"/>
      <c r="AK41" s="8"/>
      <c r="AL41" s="28"/>
      <c r="AM41" s="28"/>
      <c r="AN41" s="28"/>
      <c r="AO41" s="28"/>
      <c r="AP41" s="7"/>
      <c r="AQ41" s="7"/>
      <c r="AR41" s="7"/>
      <c r="AS41" s="7"/>
      <c r="AT41" s="7"/>
      <c r="AU41" s="7"/>
      <c r="AV41" s="7"/>
    </row>
    <row r="42" spans="2:48" ht="15.75" thickBot="1" x14ac:dyDescent="0.3">
      <c r="C42" s="288" t="s">
        <v>169</v>
      </c>
      <c r="D42" s="463">
        <v>255</v>
      </c>
      <c r="E42" s="429">
        <f>(D42-$E$13)/$E$15</f>
        <v>1</v>
      </c>
      <c r="F42" s="430">
        <f>1-E42</f>
        <v>0</v>
      </c>
      <c r="N42" s="717">
        <f t="shared" ref="N42:P44" si="26">SUM(M34:N34)</f>
        <v>1</v>
      </c>
      <c r="P42" s="717">
        <f t="shared" si="26"/>
        <v>1</v>
      </c>
      <c r="Q42" s="188"/>
      <c r="R42" s="717">
        <f>SUM(Q34:R34)</f>
        <v>48</v>
      </c>
      <c r="T42" s="717">
        <f>SUM(S34:T34)</f>
        <v>250</v>
      </c>
      <c r="V42" s="717">
        <f>SUM(U34-$E$5,V34-$E$5)</f>
        <v>48</v>
      </c>
      <c r="X42" s="717">
        <f>SUM(W34-$E$13,X34-$E$13)</f>
        <v>250</v>
      </c>
      <c r="Y42" s="188">
        <f>SUM(Y36:AB36)</f>
        <v>596</v>
      </c>
      <c r="Z42" s="188"/>
      <c r="AA42" s="188"/>
      <c r="AB42" s="188"/>
      <c r="AC42" s="140"/>
      <c r="AD42" s="479"/>
      <c r="AE42" s="140"/>
      <c r="AF42" s="8"/>
      <c r="AG42" s="8"/>
      <c r="AH42" s="8"/>
      <c r="AT42" s="310"/>
    </row>
    <row r="43" spans="2:48" x14ac:dyDescent="0.25">
      <c r="N43" s="717">
        <f t="shared" si="26"/>
        <v>1</v>
      </c>
      <c r="P43" s="717">
        <f t="shared" si="26"/>
        <v>1</v>
      </c>
      <c r="Q43" s="188"/>
      <c r="R43" s="717">
        <f>SUM(Q35:R35)</f>
        <v>48</v>
      </c>
      <c r="T43" s="717">
        <f>SUM(S35:T35)</f>
        <v>250</v>
      </c>
      <c r="V43" s="717">
        <f>SUM(U35-$E$5,V35-$E$5)</f>
        <v>48</v>
      </c>
      <c r="X43" s="717">
        <f>SUM(W35-$E$13,X35-$E$13)</f>
        <v>250</v>
      </c>
      <c r="Y43" s="188">
        <f>SUM(Y37:AB37)</f>
        <v>596.00000000000011</v>
      </c>
      <c r="Z43" s="188"/>
      <c r="AA43" s="188"/>
      <c r="AB43" s="188"/>
      <c r="AC43" s="140"/>
      <c r="AD43" s="140"/>
      <c r="AE43" s="140"/>
      <c r="AF43" s="8"/>
      <c r="AG43" s="8"/>
      <c r="AH43" s="8"/>
    </row>
    <row r="44" spans="2:48" x14ac:dyDescent="0.25">
      <c r="N44" s="717">
        <f t="shared" si="26"/>
        <v>1</v>
      </c>
      <c r="P44" s="717">
        <f t="shared" si="26"/>
        <v>1</v>
      </c>
      <c r="Q44" s="188"/>
      <c r="R44" s="717">
        <f>SUM(Q36:R36)</f>
        <v>48</v>
      </c>
      <c r="T44" s="717">
        <f>SUM(S36:T36)</f>
        <v>250</v>
      </c>
      <c r="V44" s="717">
        <f>SUM(U36-$E$5,V36-$E$5)</f>
        <v>48</v>
      </c>
      <c r="X44" s="717">
        <f>SUM(W36-$E$13,X36-$E$13)</f>
        <v>250</v>
      </c>
      <c r="Y44" s="188">
        <f>SUM(Y38:AB38)</f>
        <v>596</v>
      </c>
      <c r="Z44" s="188"/>
      <c r="AA44" s="188"/>
      <c r="AB44" s="188"/>
      <c r="AC44" s="140"/>
      <c r="AD44" s="140"/>
      <c r="AE44" s="140"/>
      <c r="AF44" s="8"/>
      <c r="AG44" s="8"/>
      <c r="AH44" s="8"/>
    </row>
    <row r="45" spans="2:48" x14ac:dyDescent="0.25">
      <c r="D45">
        <v>26.78</v>
      </c>
      <c r="N45" s="1612" t="s">
        <v>556</v>
      </c>
      <c r="O45" s="1612"/>
      <c r="P45" s="1612"/>
      <c r="Q45" s="188"/>
      <c r="R45" s="1612" t="s">
        <v>557</v>
      </c>
      <c r="S45" s="1612"/>
      <c r="T45" s="1612"/>
      <c r="U45" s="188"/>
      <c r="V45" s="1612" t="s">
        <v>558</v>
      </c>
      <c r="W45" s="1612"/>
      <c r="X45" s="1612"/>
      <c r="Y45" s="8"/>
      <c r="Z45" s="8"/>
      <c r="AA45" s="8"/>
      <c r="AB45" s="8"/>
      <c r="AC45" s="8"/>
      <c r="AD45" s="8"/>
    </row>
    <row r="46" spans="2:48" x14ac:dyDescent="0.25">
      <c r="D46">
        <v>90</v>
      </c>
      <c r="P46" s="188"/>
      <c r="Q46" s="188"/>
      <c r="R46" s="188"/>
      <c r="S46" s="188"/>
      <c r="T46" s="188"/>
      <c r="U46" s="188"/>
      <c r="V46" s="188"/>
      <c r="W46" s="188"/>
      <c r="X46" s="188"/>
      <c r="Y46" s="8"/>
      <c r="Z46" s="8"/>
      <c r="AA46" s="8"/>
      <c r="AB46" s="8"/>
      <c r="AC46" s="8"/>
      <c r="AD46" s="8"/>
    </row>
    <row r="47" spans="2:48" x14ac:dyDescent="0.25">
      <c r="P47" s="188"/>
      <c r="Q47" s="188"/>
      <c r="R47" s="188"/>
      <c r="S47" s="188"/>
      <c r="T47" s="188"/>
      <c r="U47" s="188"/>
      <c r="V47" s="188"/>
      <c r="W47" s="188"/>
      <c r="X47" s="188"/>
    </row>
    <row r="48" spans="2:48" x14ac:dyDescent="0.25">
      <c r="P48" s="188"/>
      <c r="Q48" s="188"/>
      <c r="R48" s="188"/>
      <c r="S48" s="188"/>
      <c r="T48" s="188"/>
      <c r="U48" s="188"/>
      <c r="V48" s="188"/>
      <c r="W48" s="188"/>
      <c r="X48" s="188"/>
    </row>
    <row r="49" spans="16:24" x14ac:dyDescent="0.25">
      <c r="P49" s="188"/>
      <c r="Q49" s="188"/>
      <c r="R49" s="188"/>
      <c r="S49" s="188"/>
      <c r="T49" s="188"/>
      <c r="U49" s="188"/>
      <c r="V49" s="188"/>
      <c r="W49" s="188"/>
      <c r="X49" s="188"/>
    </row>
  </sheetData>
  <mergeCells count="14">
    <mergeCell ref="N45:P45"/>
    <mergeCell ref="R45:T45"/>
    <mergeCell ref="V45:X45"/>
    <mergeCell ref="O28:P28"/>
    <mergeCell ref="Q28:R28"/>
    <mergeCell ref="S28:T28"/>
    <mergeCell ref="U28:V28"/>
    <mergeCell ref="W28:X28"/>
    <mergeCell ref="B34:C35"/>
    <mergeCell ref="C4:C10"/>
    <mergeCell ref="C20:C24"/>
    <mergeCell ref="C12:C18"/>
    <mergeCell ref="K23:N24"/>
    <mergeCell ref="M28:N2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B2:AW114"/>
  <sheetViews>
    <sheetView topLeftCell="A16" zoomScale="85" zoomScaleNormal="85" workbookViewId="0">
      <selection activeCell="F13" sqref="F13"/>
    </sheetView>
  </sheetViews>
  <sheetFormatPr defaultRowHeight="15" x14ac:dyDescent="0.25"/>
  <cols>
    <col min="1" max="1" width="4.42578125" customWidth="1"/>
    <col min="4" max="4" width="13.28515625" customWidth="1"/>
    <col min="6" max="9" width="11.42578125" style="33" customWidth="1"/>
    <col min="10" max="10" width="11.140625" style="33" customWidth="1"/>
    <col min="11" max="13" width="17.5703125" style="33" customWidth="1"/>
    <col min="14" max="24" width="13.140625" style="33" customWidth="1"/>
    <col min="25" max="25" width="13.140625" customWidth="1"/>
    <col min="26" max="26" width="12.85546875" customWidth="1"/>
    <col min="27" max="27" width="12.7109375" customWidth="1"/>
    <col min="28" max="28" width="10.28515625" customWidth="1"/>
    <col min="29" max="29" width="10.7109375" customWidth="1"/>
    <col min="30" max="30" width="11.7109375" customWidth="1"/>
    <col min="31" max="31" width="13.140625" customWidth="1"/>
    <col min="32" max="32" width="12.85546875" customWidth="1"/>
    <col min="33" max="33" width="12.140625" hidden="1" customWidth="1"/>
    <col min="34" max="34" width="10.5703125" hidden="1" customWidth="1"/>
    <col min="35" max="36" width="0" hidden="1" customWidth="1"/>
    <col min="37" max="37" width="11.140625" hidden="1" customWidth="1"/>
    <col min="38" max="39" width="0" hidden="1" customWidth="1"/>
    <col min="40" max="40" width="20" customWidth="1"/>
    <col min="43" max="43" width="10" customWidth="1"/>
    <col min="44" max="44" width="13" customWidth="1"/>
    <col min="46" max="47" width="10.42578125" customWidth="1"/>
  </cols>
  <sheetData>
    <row r="2" spans="3:37" ht="31.5" x14ac:dyDescent="0.5">
      <c r="C2" s="186" t="s">
        <v>308</v>
      </c>
      <c r="E2" s="139"/>
    </row>
    <row r="3" spans="3:37" ht="31.5" x14ac:dyDescent="0.5">
      <c r="C3" s="186"/>
      <c r="E3" s="139"/>
    </row>
    <row r="4" spans="3:37" x14ac:dyDescent="0.25">
      <c r="D4" s="1564" t="s">
        <v>159</v>
      </c>
      <c r="E4" s="150" t="s">
        <v>101</v>
      </c>
      <c r="F4" s="150" t="s">
        <v>645</v>
      </c>
      <c r="G4" s="150"/>
      <c r="H4" s="264"/>
      <c r="I4" s="264"/>
      <c r="J4" s="264"/>
      <c r="K4" s="264"/>
      <c r="L4" s="264"/>
      <c r="M4" s="264"/>
      <c r="N4" s="259"/>
      <c r="Y4">
        <f>(41-2)/48</f>
        <v>0.8125</v>
      </c>
    </row>
    <row r="5" spans="3:37" x14ac:dyDescent="0.25">
      <c r="D5" s="1565"/>
      <c r="E5" s="17" t="s">
        <v>145</v>
      </c>
      <c r="F5" s="837">
        <v>2</v>
      </c>
      <c r="G5" s="7" t="s">
        <v>146</v>
      </c>
      <c r="H5" s="17"/>
      <c r="I5" s="17" t="s">
        <v>240</v>
      </c>
      <c r="J5" s="17"/>
      <c r="K5" s="17"/>
      <c r="L5" s="17"/>
      <c r="M5" s="17"/>
      <c r="N5" s="239"/>
      <c r="Y5">
        <f>(41-14)/(50-14)</f>
        <v>0.75</v>
      </c>
    </row>
    <row r="6" spans="3:37" x14ac:dyDescent="0.25">
      <c r="D6" s="1565"/>
      <c r="E6" s="17" t="s">
        <v>148</v>
      </c>
      <c r="F6" s="837">
        <v>50</v>
      </c>
      <c r="G6" s="7" t="s">
        <v>147</v>
      </c>
      <c r="H6" s="17"/>
      <c r="I6" s="17" t="s">
        <v>241</v>
      </c>
      <c r="J6" s="17"/>
      <c r="K6" s="17"/>
      <c r="L6" s="17"/>
      <c r="M6" s="17"/>
      <c r="N6" s="239"/>
    </row>
    <row r="7" spans="3:37" x14ac:dyDescent="0.25">
      <c r="D7" s="1565"/>
      <c r="E7" s="140" t="s">
        <v>149</v>
      </c>
      <c r="F7" s="837">
        <f>F6-F5</f>
        <v>48</v>
      </c>
      <c r="G7" s="7" t="s">
        <v>150</v>
      </c>
      <c r="H7" s="17"/>
      <c r="I7" s="17"/>
      <c r="J7" s="17"/>
      <c r="K7" s="17"/>
      <c r="L7" s="17"/>
      <c r="M7" s="17"/>
      <c r="N7" s="239"/>
      <c r="Y7">
        <f>0.4*36</f>
        <v>14.4</v>
      </c>
    </row>
    <row r="8" spans="3:37" x14ac:dyDescent="0.25">
      <c r="D8" s="1565"/>
      <c r="E8" s="140" t="s">
        <v>153</v>
      </c>
      <c r="F8" s="190"/>
      <c r="G8" s="8" t="s">
        <v>156</v>
      </c>
      <c r="H8" s="17"/>
      <c r="I8" s="17"/>
      <c r="J8" s="17"/>
      <c r="K8" s="17"/>
      <c r="L8" s="17"/>
      <c r="M8" s="17"/>
      <c r="N8" s="239"/>
    </row>
    <row r="9" spans="3:37" x14ac:dyDescent="0.25">
      <c r="D9" s="1565"/>
      <c r="E9" s="140" t="s">
        <v>154</v>
      </c>
      <c r="F9" s="190"/>
      <c r="G9" s="8" t="s">
        <v>157</v>
      </c>
      <c r="H9" s="17"/>
      <c r="I9" s="17"/>
      <c r="J9" s="17"/>
      <c r="K9" s="17"/>
      <c r="L9" s="17"/>
      <c r="M9" s="17"/>
      <c r="N9" s="239"/>
    </row>
    <row r="10" spans="3:37" x14ac:dyDescent="0.25">
      <c r="D10" s="1566"/>
      <c r="E10" s="265" t="s">
        <v>155</v>
      </c>
      <c r="F10" s="266"/>
      <c r="G10" s="267" t="s">
        <v>158</v>
      </c>
      <c r="H10" s="257"/>
      <c r="I10" s="257"/>
      <c r="J10" s="257"/>
      <c r="K10" s="257"/>
      <c r="L10" s="257"/>
      <c r="M10" s="257"/>
      <c r="N10" s="260"/>
    </row>
    <row r="11" spans="3:37" x14ac:dyDescent="0.25">
      <c r="D11" s="256"/>
      <c r="E11" s="140"/>
      <c r="F11" s="190"/>
      <c r="G11" s="8"/>
      <c r="H11" s="17"/>
      <c r="I11" s="17"/>
      <c r="J11" s="17"/>
      <c r="K11" s="17"/>
      <c r="L11" s="17"/>
      <c r="M11" s="17"/>
      <c r="Y11">
        <f>41/28</f>
        <v>1.4642857142857142</v>
      </c>
    </row>
    <row r="12" spans="3:37" x14ac:dyDescent="0.25">
      <c r="D12" s="1564" t="s">
        <v>163</v>
      </c>
      <c r="E12" s="150" t="s">
        <v>101</v>
      </c>
      <c r="F12" s="150" t="s">
        <v>646</v>
      </c>
      <c r="G12" s="150"/>
      <c r="H12" s="264"/>
      <c r="I12" s="264"/>
      <c r="J12" s="264"/>
      <c r="K12" s="264"/>
      <c r="L12" s="264"/>
      <c r="M12" s="264"/>
      <c r="N12" s="259"/>
    </row>
    <row r="13" spans="3:37" x14ac:dyDescent="0.25">
      <c r="D13" s="1565"/>
      <c r="E13" s="17" t="s">
        <v>145</v>
      </c>
      <c r="F13" s="837">
        <v>5</v>
      </c>
      <c r="G13" s="7" t="s">
        <v>146</v>
      </c>
      <c r="H13" s="17"/>
      <c r="I13" s="17" t="s">
        <v>243</v>
      </c>
      <c r="J13" s="17"/>
      <c r="K13" s="17"/>
      <c r="L13" s="17"/>
      <c r="M13" s="17"/>
      <c r="N13" s="239"/>
    </row>
    <row r="14" spans="3:37" s="33" customFormat="1" x14ac:dyDescent="0.25">
      <c r="C14"/>
      <c r="D14" s="1565"/>
      <c r="E14" s="17" t="s">
        <v>148</v>
      </c>
      <c r="F14" s="837">
        <v>255</v>
      </c>
      <c r="G14" s="7" t="s">
        <v>147</v>
      </c>
      <c r="H14" s="17"/>
      <c r="I14" s="17" t="s">
        <v>242</v>
      </c>
      <c r="J14" s="17"/>
      <c r="K14" s="17"/>
      <c r="L14" s="17"/>
      <c r="M14" s="17"/>
      <c r="N14" s="239"/>
      <c r="Y14"/>
      <c r="Z14"/>
      <c r="AA14"/>
      <c r="AB14"/>
      <c r="AC14"/>
      <c r="AD14"/>
      <c r="AE14"/>
      <c r="AF14"/>
      <c r="AG14"/>
      <c r="AH14"/>
      <c r="AI14"/>
      <c r="AJ14"/>
      <c r="AK14"/>
    </row>
    <row r="15" spans="3:37" s="33" customFormat="1" x14ac:dyDescent="0.25">
      <c r="C15"/>
      <c r="D15" s="1565"/>
      <c r="E15" s="140" t="s">
        <v>149</v>
      </c>
      <c r="F15" s="837">
        <f>F14-F13</f>
        <v>250</v>
      </c>
      <c r="G15" s="7" t="s">
        <v>150</v>
      </c>
      <c r="H15" s="17"/>
      <c r="I15" s="17"/>
      <c r="J15" s="17"/>
      <c r="K15" s="17"/>
      <c r="L15" s="17"/>
      <c r="M15" s="17"/>
      <c r="N15" s="239"/>
      <c r="Y15"/>
      <c r="Z15"/>
      <c r="AA15"/>
      <c r="AB15"/>
      <c r="AC15"/>
      <c r="AD15"/>
      <c r="AE15"/>
      <c r="AF15"/>
      <c r="AG15"/>
      <c r="AH15"/>
      <c r="AI15"/>
      <c r="AJ15"/>
      <c r="AK15"/>
    </row>
    <row r="16" spans="3:37" s="33" customFormat="1" x14ac:dyDescent="0.25">
      <c r="C16"/>
      <c r="D16" s="1565"/>
      <c r="E16" s="140" t="s">
        <v>153</v>
      </c>
      <c r="F16" s="190"/>
      <c r="G16" s="8" t="s">
        <v>156</v>
      </c>
      <c r="H16" s="17"/>
      <c r="I16" s="17"/>
      <c r="J16" s="17"/>
      <c r="K16" s="17"/>
      <c r="L16" s="17"/>
      <c r="M16" s="17"/>
      <c r="N16" s="239"/>
      <c r="Y16"/>
      <c r="Z16"/>
      <c r="AA16"/>
      <c r="AB16"/>
      <c r="AC16"/>
      <c r="AD16"/>
      <c r="AE16"/>
      <c r="AF16"/>
      <c r="AG16"/>
      <c r="AH16"/>
      <c r="AI16"/>
      <c r="AJ16"/>
      <c r="AK16"/>
    </row>
    <row r="17" spans="2:49" s="33" customFormat="1" x14ac:dyDescent="0.25">
      <c r="C17"/>
      <c r="D17" s="1565"/>
      <c r="E17" s="140" t="s">
        <v>154</v>
      </c>
      <c r="F17" s="190"/>
      <c r="G17" s="8" t="s">
        <v>157</v>
      </c>
      <c r="H17" s="17"/>
      <c r="I17" s="17"/>
      <c r="J17" s="17"/>
      <c r="K17" s="17"/>
      <c r="L17" s="17"/>
      <c r="M17" s="17"/>
      <c r="N17" s="239"/>
      <c r="Y17"/>
      <c r="Z17"/>
      <c r="AA17"/>
      <c r="AB17"/>
      <c r="AC17"/>
      <c r="AD17"/>
      <c r="AE17"/>
      <c r="AF17"/>
      <c r="AG17"/>
      <c r="AH17"/>
      <c r="AI17"/>
      <c r="AJ17"/>
      <c r="AK17"/>
    </row>
    <row r="18" spans="2:49" s="33" customFormat="1" x14ac:dyDescent="0.25">
      <c r="C18"/>
      <c r="D18" s="1566"/>
      <c r="E18" s="265" t="s">
        <v>155</v>
      </c>
      <c r="F18" s="266"/>
      <c r="G18" s="267" t="s">
        <v>158</v>
      </c>
      <c r="H18" s="257"/>
      <c r="I18" s="257"/>
      <c r="J18" s="257"/>
      <c r="K18" s="257"/>
      <c r="L18" s="257"/>
      <c r="M18" s="257"/>
      <c r="N18" s="260"/>
      <c r="Y18"/>
      <c r="Z18"/>
      <c r="AA18"/>
      <c r="AB18"/>
      <c r="AC18"/>
      <c r="AD18"/>
      <c r="AE18"/>
      <c r="AF18"/>
      <c r="AG18"/>
      <c r="AH18"/>
      <c r="AI18"/>
      <c r="AJ18"/>
      <c r="AK18"/>
    </row>
    <row r="19" spans="2:49" s="33" customFormat="1" ht="15.75" thickBot="1" x14ac:dyDescent="0.3">
      <c r="C19"/>
      <c r="D19" s="256"/>
      <c r="E19" s="140"/>
      <c r="F19" s="190"/>
      <c r="G19" s="8"/>
      <c r="H19" s="17"/>
      <c r="I19" s="17"/>
      <c r="J19" s="17"/>
      <c r="K19" s="17"/>
      <c r="L19" s="17"/>
      <c r="M19" s="17"/>
      <c r="Y19"/>
      <c r="Z19"/>
      <c r="AA19"/>
      <c r="AB19"/>
      <c r="AC19"/>
      <c r="AD19"/>
      <c r="AE19"/>
      <c r="AF19"/>
      <c r="AG19"/>
      <c r="AH19"/>
      <c r="AI19"/>
      <c r="AJ19"/>
      <c r="AK19"/>
    </row>
    <row r="20" spans="2:49" s="33" customFormat="1" ht="15" customHeight="1" x14ac:dyDescent="0.25">
      <c r="C20"/>
      <c r="D20" s="1567" t="s">
        <v>148</v>
      </c>
      <c r="E20" s="273" t="s">
        <v>160</v>
      </c>
      <c r="F20" s="274" t="s">
        <v>164</v>
      </c>
      <c r="G20" s="251" t="s">
        <v>162</v>
      </c>
      <c r="H20" s="251"/>
      <c r="I20" s="251"/>
      <c r="J20" s="249"/>
      <c r="L20" s="1616" t="s">
        <v>402</v>
      </c>
      <c r="M20" s="1616"/>
      <c r="N20" s="1616"/>
      <c r="Y20"/>
      <c r="Z20"/>
      <c r="AA20"/>
      <c r="AB20"/>
      <c r="AC20"/>
      <c r="AD20"/>
      <c r="AE20"/>
      <c r="AF20"/>
      <c r="AG20"/>
      <c r="AH20"/>
      <c r="AI20"/>
      <c r="AJ20"/>
      <c r="AK20"/>
    </row>
    <row r="21" spans="2:49" ht="15" customHeight="1" x14ac:dyDescent="0.25">
      <c r="D21" s="1568"/>
      <c r="E21" s="17" t="s">
        <v>135</v>
      </c>
      <c r="F21" s="254">
        <v>4</v>
      </c>
      <c r="G21" s="17" t="s">
        <v>136</v>
      </c>
      <c r="H21" s="17"/>
      <c r="I21" s="17"/>
      <c r="J21" s="195"/>
      <c r="L21" s="1616"/>
      <c r="M21" s="1616"/>
      <c r="N21" s="1616"/>
    </row>
    <row r="22" spans="2:49" x14ac:dyDescent="0.25">
      <c r="D22" s="1568"/>
      <c r="E22" s="17" t="s">
        <v>5</v>
      </c>
      <c r="F22" s="837">
        <v>10</v>
      </c>
      <c r="G22" s="17" t="s">
        <v>139</v>
      </c>
      <c r="H22" s="17"/>
      <c r="I22" s="17"/>
      <c r="J22" s="195"/>
      <c r="L22" s="1616"/>
      <c r="M22" s="1616"/>
      <c r="N22" s="1616"/>
    </row>
    <row r="23" spans="2:49" x14ac:dyDescent="0.25">
      <c r="D23" s="1568"/>
      <c r="E23" s="140" t="s">
        <v>151</v>
      </c>
      <c r="F23" s="864">
        <v>1</v>
      </c>
      <c r="G23" s="140" t="s">
        <v>384</v>
      </c>
      <c r="H23" s="17"/>
      <c r="I23" s="17"/>
      <c r="J23" s="195"/>
      <c r="L23" s="1616"/>
      <c r="M23" s="1616"/>
      <c r="N23" s="1616"/>
    </row>
    <row r="24" spans="2:49" ht="15.75" thickBot="1" x14ac:dyDescent="0.3">
      <c r="D24" s="1569"/>
      <c r="E24" s="166" t="s">
        <v>137</v>
      </c>
      <c r="F24" s="275">
        <f>F22*F23*LN(F21)</f>
        <v>13.862943611198906</v>
      </c>
      <c r="G24" s="166" t="s">
        <v>138</v>
      </c>
      <c r="H24" s="252"/>
      <c r="I24" s="252"/>
      <c r="J24" s="250"/>
      <c r="L24" s="1616"/>
      <c r="M24" s="1616"/>
      <c r="N24" s="1616"/>
    </row>
    <row r="25" spans="2:49" x14ac:dyDescent="0.25">
      <c r="C25" s="7"/>
    </row>
    <row r="26" spans="2:49" ht="15.75" thickBot="1" x14ac:dyDescent="0.3">
      <c r="X26" s="140"/>
      <c r="Y26" s="8"/>
      <c r="Z26" s="8"/>
      <c r="AA26" s="8"/>
      <c r="AB26" s="8"/>
      <c r="AC26" s="8"/>
      <c r="AD26" s="8"/>
      <c r="AE26" s="8"/>
      <c r="AG26" s="8"/>
      <c r="AH26" s="7"/>
      <c r="AI26" s="7"/>
      <c r="AJ26" s="7"/>
      <c r="AK26" s="7"/>
      <c r="AL26" s="7"/>
    </row>
    <row r="27" spans="2:49" ht="19.5" thickBot="1" x14ac:dyDescent="0.35">
      <c r="D27" s="7"/>
      <c r="F27" s="199" t="s">
        <v>12</v>
      </c>
      <c r="G27" s="200"/>
      <c r="H27" s="200"/>
      <c r="I27" s="201"/>
      <c r="J27" s="199" t="s">
        <v>220</v>
      </c>
      <c r="K27" s="200"/>
      <c r="L27" s="200"/>
      <c r="M27" s="201"/>
      <c r="N27" s="199" t="s">
        <v>219</v>
      </c>
      <c r="O27" s="200"/>
      <c r="P27" s="200"/>
      <c r="Q27" s="201"/>
      <c r="R27" s="199" t="s">
        <v>218</v>
      </c>
      <c r="S27" s="200"/>
      <c r="T27" s="200"/>
      <c r="U27" s="201"/>
      <c r="V27" s="199" t="s">
        <v>222</v>
      </c>
      <c r="W27" s="200"/>
      <c r="X27" s="200"/>
      <c r="Y27" s="201"/>
      <c r="Z27" s="199" t="s">
        <v>221</v>
      </c>
      <c r="AA27" s="200"/>
      <c r="AB27" s="200"/>
      <c r="AC27" s="201"/>
      <c r="AD27" s="199" t="s">
        <v>36</v>
      </c>
      <c r="AE27" s="201" t="s">
        <v>35</v>
      </c>
      <c r="AF27" s="193"/>
      <c r="AG27" s="835" t="s">
        <v>98</v>
      </c>
      <c r="AH27" s="836"/>
      <c r="AI27" s="183" t="s">
        <v>99</v>
      </c>
      <c r="AJ27" s="7"/>
      <c r="AK27" s="7" t="s">
        <v>100</v>
      </c>
      <c r="AL27" s="20"/>
      <c r="AM27" s="184" t="s">
        <v>100</v>
      </c>
      <c r="AN27" s="20"/>
      <c r="AO27" s="20"/>
      <c r="AP27" s="20"/>
      <c r="AQ27" s="7"/>
      <c r="AR27" s="7"/>
      <c r="AS27" s="7"/>
      <c r="AT27" s="7"/>
      <c r="AU27" s="7"/>
      <c r="AV27" s="7"/>
      <c r="AW27" s="7"/>
    </row>
    <row r="28" spans="2:49" ht="16.5" thickTop="1" thickBot="1" x14ac:dyDescent="0.3">
      <c r="D28" s="32"/>
      <c r="E28" s="115" t="s">
        <v>45</v>
      </c>
      <c r="F28" s="247" t="str">
        <f>"S("&amp;$F$5&amp;", "&amp;$F$13&amp;")"</f>
        <v>S(2, 5)</v>
      </c>
      <c r="G28" s="176" t="str">
        <f>"S("&amp;$F$5&amp;", "&amp;$F$14&amp;")"</f>
        <v>S(2, 255)</v>
      </c>
      <c r="H28" s="173" t="str">
        <f>"S("&amp;$F$6&amp;", "&amp;$F$13&amp;")"</f>
        <v>S(50, 5)</v>
      </c>
      <c r="I28" s="313" t="str">
        <f>"S("&amp;$F$6&amp;", "&amp;$F$14&amp;")"</f>
        <v>S(50, 255)</v>
      </c>
      <c r="J28" s="247" t="str">
        <f>"P"&amp;(RIGHT(F28,LEN(F28)-1))</f>
        <v>P(2, 5)</v>
      </c>
      <c r="K28" s="176" t="str">
        <f>"P"&amp;(RIGHT(G28,LEN(G28)-1))</f>
        <v>P(2, 255)</v>
      </c>
      <c r="L28" s="173" t="str">
        <f>"P"&amp;(RIGHT(H28,LEN(H28)-1))</f>
        <v>P(50, 5)</v>
      </c>
      <c r="M28" s="313" t="str">
        <f>"P"&amp;(RIGHT(I28,LEN(I28)-1))</f>
        <v>P(50, 255)</v>
      </c>
      <c r="N28" s="1610" t="str">
        <f>"P("&amp;$F$5&amp;",:)      &lt;--- d1 ---&gt;      P("&amp;$F$6&amp;",:)"</f>
        <v>P(2,:)      &lt;--- d1 ---&gt;      P(50,:)</v>
      </c>
      <c r="O28" s="1611"/>
      <c r="P28" s="1613" t="str">
        <f>"P(:,"&amp;$F$13&amp;")     &lt;--- d2 ---&gt;    P(:,"&amp;$F$14&amp;")"</f>
        <v>P(:,5)     &lt;--- d2 ---&gt;    P(:,255)</v>
      </c>
      <c r="Q28" s="1614"/>
      <c r="R28" s="1610" t="str">
        <f>"V"&amp;RIGHT(N28,LEN(N28)-1)</f>
        <v>V(2,:)      &lt;--- d1 ---&gt;      P(50,:)</v>
      </c>
      <c r="S28" s="1611"/>
      <c r="T28" s="1615" t="str">
        <f>"V"&amp;RIGHT(P28,LEN(P28)-1)</f>
        <v>V(:,5)     &lt;--- d2 ---&gt;    P(:,255)</v>
      </c>
      <c r="U28" s="1614"/>
      <c r="V28" s="1610" t="str">
        <f>R28</f>
        <v>V(2,:)      &lt;--- d1 ---&gt;      P(50,:)</v>
      </c>
      <c r="W28" s="1611"/>
      <c r="X28" s="1615" t="str">
        <f>T28</f>
        <v>V(:,5)     &lt;--- d2 ---&gt;    P(:,255)</v>
      </c>
      <c r="Y28" s="1614"/>
      <c r="Z28" s="247" t="str">
        <f>J28</f>
        <v>P(2, 5)</v>
      </c>
      <c r="AA28" s="176" t="str">
        <f>K28</f>
        <v>P(2, 255)</v>
      </c>
      <c r="AB28" s="173" t="str">
        <f>L28</f>
        <v>P(50, 5)</v>
      </c>
      <c r="AC28" s="313" t="str">
        <f>M28</f>
        <v>P(50, 255)</v>
      </c>
      <c r="AD28" s="504">
        <v>0</v>
      </c>
      <c r="AE28" s="203"/>
      <c r="AF28" s="140"/>
      <c r="AG28" s="180" t="str">
        <f>J28</f>
        <v>P(2, 5)</v>
      </c>
      <c r="AH28" s="181" t="str">
        <f>M28</f>
        <v>P(50, 255)</v>
      </c>
      <c r="AI28" s="7"/>
      <c r="AJ28" s="7"/>
      <c r="AK28" s="7"/>
      <c r="AL28" s="7"/>
      <c r="AN28" s="7" t="s">
        <v>176</v>
      </c>
      <c r="AO28" s="7"/>
      <c r="AP28" s="7"/>
      <c r="AQ28" s="7"/>
      <c r="AR28" s="7"/>
      <c r="AS28" s="7"/>
      <c r="AT28" s="7"/>
      <c r="AU28" s="7"/>
      <c r="AV28" s="7"/>
      <c r="AW28" s="7"/>
    </row>
    <row r="29" spans="2:49" ht="15.75" thickTop="1" x14ac:dyDescent="0.25">
      <c r="C29" t="s">
        <v>350</v>
      </c>
      <c r="D29" s="21" t="s">
        <v>351</v>
      </c>
      <c r="E29" s="25">
        <v>1</v>
      </c>
      <c r="F29" s="314">
        <v>0</v>
      </c>
      <c r="G29" s="214">
        <v>0</v>
      </c>
      <c r="H29" s="213">
        <v>0</v>
      </c>
      <c r="I29" s="315">
        <v>0</v>
      </c>
      <c r="J29" s="324">
        <f t="shared" ref="J29:M37" si="0">EXP(F29/$F$22)/(EXP($F29/$F$22)+EXP($G29/$F$22)+EXP($H29/$F$22)+EXP($I29/$F$22))</f>
        <v>0.25</v>
      </c>
      <c r="K29" s="210">
        <f t="shared" si="0"/>
        <v>0.25</v>
      </c>
      <c r="L29" s="209">
        <f t="shared" si="0"/>
        <v>0.25</v>
      </c>
      <c r="M29" s="325">
        <f t="shared" si="0"/>
        <v>0.25</v>
      </c>
      <c r="N29" s="486">
        <f>SUM(J29:K29)</f>
        <v>0.5</v>
      </c>
      <c r="O29" s="1052">
        <f>SUM(L29,M29)</f>
        <v>0.5</v>
      </c>
      <c r="P29" s="1056">
        <f>SUM(L29,J29)</f>
        <v>0.5</v>
      </c>
      <c r="Q29" s="472">
        <f>SUM(K29,M29)</f>
        <v>0.5</v>
      </c>
      <c r="R29" s="486">
        <f>N29*$F$7</f>
        <v>24</v>
      </c>
      <c r="S29" s="1049">
        <f>O29*$F$7</f>
        <v>24</v>
      </c>
      <c r="T29" s="491">
        <f>P29*$F$15</f>
        <v>125</v>
      </c>
      <c r="U29" s="472">
        <f>Q29*$F$15</f>
        <v>125</v>
      </c>
      <c r="V29" s="486">
        <f>R29+$F$5</f>
        <v>26</v>
      </c>
      <c r="W29" s="1049">
        <f>S29+$F$5</f>
        <v>26</v>
      </c>
      <c r="X29" s="491">
        <f>T29+$F$13</f>
        <v>130</v>
      </c>
      <c r="Y29" s="472">
        <f>U29+$F$13</f>
        <v>130</v>
      </c>
      <c r="Z29" s="314">
        <f>SUM(R29,T29)</f>
        <v>149</v>
      </c>
      <c r="AA29" s="214">
        <f t="shared" ref="AA29:AA38" si="1">SUM(R29,U29)</f>
        <v>149</v>
      </c>
      <c r="AB29" s="213">
        <f t="shared" ref="AB29:AB38" si="2">SUM(S29,T29)</f>
        <v>149</v>
      </c>
      <c r="AC29" s="315">
        <f t="shared" ref="AC29:AC38" si="3">SUM(S29,U29)</f>
        <v>149</v>
      </c>
      <c r="AD29" s="81">
        <f>$F$23*$F$22*LN(EXP($F29/$F$22) + EXP($G29/$F$22) + EXP($H29/$F$22) +EXP($I29/$F$22) )</f>
        <v>13.862943611198906</v>
      </c>
      <c r="AE29" s="204">
        <f t="shared" ref="AE29:AE37" si="4">(AD29-AD28)</f>
        <v>13.862943611198906</v>
      </c>
      <c r="AF29" s="194"/>
      <c r="AG29" s="114"/>
      <c r="AH29" s="100"/>
      <c r="AI29" s="7"/>
      <c r="AJ29" s="7"/>
      <c r="AK29" s="7"/>
      <c r="AL29" s="7"/>
      <c r="AN29" s="311" t="s">
        <v>208</v>
      </c>
      <c r="AO29" s="7"/>
      <c r="AP29" s="7"/>
      <c r="AQ29" s="7"/>
      <c r="AR29" s="7"/>
      <c r="AS29" s="7"/>
      <c r="AT29" s="7"/>
      <c r="AU29" s="187"/>
      <c r="AV29" s="7"/>
      <c r="AW29" s="7"/>
    </row>
    <row r="30" spans="2:49" ht="18.75" x14ac:dyDescent="0.3">
      <c r="B30" t="s">
        <v>352</v>
      </c>
      <c r="C30" s="721">
        <f>SUM(L29,M29)</f>
        <v>0.5</v>
      </c>
      <c r="D30" s="843">
        <f>C37/C30</f>
        <v>1.4583333333333335</v>
      </c>
      <c r="E30" s="25">
        <v>2</v>
      </c>
      <c r="F30" s="316">
        <v>0</v>
      </c>
      <c r="G30" s="232">
        <v>0</v>
      </c>
      <c r="H30" s="231">
        <v>1</v>
      </c>
      <c r="I30" s="317">
        <v>1</v>
      </c>
      <c r="J30" s="326">
        <f t="shared" si="0"/>
        <v>0.23751040626052999</v>
      </c>
      <c r="K30" s="228">
        <f t="shared" si="0"/>
        <v>0.23751040626052999</v>
      </c>
      <c r="L30" s="227">
        <f t="shared" si="0"/>
        <v>0.26248959373947001</v>
      </c>
      <c r="M30" s="327">
        <f t="shared" si="0"/>
        <v>0.26248959373947001</v>
      </c>
      <c r="N30" s="487">
        <f t="shared" ref="N30:N37" si="5">SUM(J30:K30)</f>
        <v>0.47502081252105999</v>
      </c>
      <c r="O30" s="1047">
        <f t="shared" ref="O30:O38" si="6">SUM(L30,M30)</f>
        <v>0.52497918747894001</v>
      </c>
      <c r="P30" s="1055">
        <f t="shared" ref="P30:P38" si="7">SUM(L30,J30)</f>
        <v>0.5</v>
      </c>
      <c r="Q30" s="473">
        <f t="shared" ref="Q30:Q38" si="8">SUM(K30,M30)</f>
        <v>0.5</v>
      </c>
      <c r="R30" s="487">
        <f t="shared" ref="R30:S38" si="9">N30*$F$7</f>
        <v>22.800999001010879</v>
      </c>
      <c r="S30" s="1048">
        <f t="shared" si="9"/>
        <v>25.199000998989121</v>
      </c>
      <c r="T30" s="492">
        <f t="shared" ref="T30:U38" si="10">P30*$F$15</f>
        <v>125</v>
      </c>
      <c r="U30" s="473">
        <f t="shared" si="10"/>
        <v>125</v>
      </c>
      <c r="V30" s="487">
        <f>R30+$F$5</f>
        <v>24.800999001010879</v>
      </c>
      <c r="W30" s="1048">
        <f t="shared" ref="V30:W38" si="11">S30+$F$5</f>
        <v>27.199000998989121</v>
      </c>
      <c r="X30" s="492">
        <f t="shared" ref="X30:Y38" si="12">T30+$F$13</f>
        <v>130</v>
      </c>
      <c r="Y30" s="473">
        <f>U30+$F$13</f>
        <v>130</v>
      </c>
      <c r="Z30" s="316">
        <f t="shared" ref="Z30:Z38" si="13">SUM(R30,T30)</f>
        <v>147.80099900101089</v>
      </c>
      <c r="AA30" s="232">
        <f t="shared" si="1"/>
        <v>147.80099900101089</v>
      </c>
      <c r="AB30" s="231">
        <f t="shared" si="2"/>
        <v>150.19900099898911</v>
      </c>
      <c r="AC30" s="317">
        <f t="shared" si="3"/>
        <v>150.19900099898911</v>
      </c>
      <c r="AD30" s="82">
        <f t="shared" ref="AD30:AD37" si="14">$F$23*$F$22*LN(EXP($F30/$F$22) + EXP($G30/$F$22) + EXP($H30/$F$22) +EXP($I30/$F$22) )</f>
        <v>14.375438406335162</v>
      </c>
      <c r="AE30" s="206">
        <f t="shared" si="4"/>
        <v>0.51249479513625573</v>
      </c>
      <c r="AF30" s="194"/>
      <c r="AG30" s="114">
        <f>J30-J29</f>
        <v>-1.2489593739470006E-2</v>
      </c>
      <c r="AH30" s="100">
        <f>M30-M29</f>
        <v>1.2489593739470006E-2</v>
      </c>
      <c r="AI30" s="182">
        <f t="shared" ref="AI30:AI37" si="15">AE30</f>
        <v>0.51249479513625573</v>
      </c>
      <c r="AJ30" s="7"/>
      <c r="AK30" s="7" t="str">
        <f t="shared" ref="AK30:AK37" si="16">IF(AG30&gt;0,"Bought ",IF(AG30&lt;0,"Sold ",""))&amp;IF(AG30&lt;0,AG30*-1,IF(AG30&gt;0,AG30,""))&amp;IF(AG30&lt;&gt;0," Shares of State 1 at a cost of "&amp;ROUND($AE30,5),"")</f>
        <v>Sold 0.01248959373947 Shares of State 1 at a cost of 0.51249</v>
      </c>
      <c r="AL30" s="7" t="str">
        <f t="shared" ref="AL30:AL37" si="17">IF(AH30&gt;0,"Bought ",IF(AH30&lt;0,"Sold ",""))&amp;IF(AH30&lt;0,AH30*-1,IF(AH30&gt;0,AH30,""))&amp;IF(AH30&lt;&gt;0," Shares of State 2 at a cost of "&amp;ROUND($AE30,5),"")</f>
        <v>Bought 0.01248959373947 Shares of State 2 at a cost of 0.51249</v>
      </c>
      <c r="AM30" s="185" t="str">
        <f t="shared" ref="AM30:AM37" si="18">AK30&amp;AL30</f>
        <v>Sold 0.01248959373947 Shares of State 1 at a cost of 0.51249Bought 0.01248959373947 Shares of State 2 at a cost of 0.51249</v>
      </c>
      <c r="AN30" s="7" t="s">
        <v>224</v>
      </c>
      <c r="AO30" s="495">
        <f>S38/S29</f>
        <v>1.4583333333333333</v>
      </c>
      <c r="AP30" s="7"/>
      <c r="AQ30" s="7"/>
      <c r="AR30" s="7"/>
      <c r="AS30" s="7"/>
      <c r="AT30" s="7"/>
      <c r="AU30" s="7"/>
      <c r="AV30" s="7"/>
      <c r="AW30" s="7"/>
    </row>
    <row r="31" spans="2:49" ht="18.75" x14ac:dyDescent="0.3">
      <c r="D31" s="844">
        <f>S38/S29</f>
        <v>1.4583333333333333</v>
      </c>
      <c r="E31" s="25">
        <v>3</v>
      </c>
      <c r="F31" s="316">
        <v>6</v>
      </c>
      <c r="G31" s="232">
        <v>8</v>
      </c>
      <c r="H31" s="231">
        <v>6</v>
      </c>
      <c r="I31" s="317">
        <v>8</v>
      </c>
      <c r="J31" s="326">
        <f t="shared" si="0"/>
        <v>0.22508300134376102</v>
      </c>
      <c r="K31" s="228">
        <f t="shared" si="0"/>
        <v>0.27491699865623898</v>
      </c>
      <c r="L31" s="227">
        <f t="shared" si="0"/>
        <v>0.22508300134376102</v>
      </c>
      <c r="M31" s="327">
        <f t="shared" si="0"/>
        <v>0.27491699865623898</v>
      </c>
      <c r="N31" s="487">
        <f t="shared" si="5"/>
        <v>0.5</v>
      </c>
      <c r="O31" s="1047">
        <f>SUM(L31,M31)</f>
        <v>0.5</v>
      </c>
      <c r="P31" s="1055">
        <f>SUM(L31,J31)</f>
        <v>0.45016600268752205</v>
      </c>
      <c r="Q31" s="473">
        <f t="shared" si="8"/>
        <v>0.54983399731247795</v>
      </c>
      <c r="R31" s="487">
        <f t="shared" si="9"/>
        <v>24</v>
      </c>
      <c r="S31" s="1048">
        <f t="shared" si="9"/>
        <v>24</v>
      </c>
      <c r="T31" s="492">
        <f t="shared" si="10"/>
        <v>112.54150067188051</v>
      </c>
      <c r="U31" s="473">
        <f t="shared" si="10"/>
        <v>137.4584993281195</v>
      </c>
      <c r="V31" s="487">
        <f t="shared" si="11"/>
        <v>26</v>
      </c>
      <c r="W31" s="1048">
        <f t="shared" si="11"/>
        <v>26</v>
      </c>
      <c r="X31" s="492">
        <f t="shared" si="12"/>
        <v>117.54150067188051</v>
      </c>
      <c r="Y31" s="473">
        <f t="shared" si="12"/>
        <v>142.4584993281195</v>
      </c>
      <c r="Z31" s="316">
        <f t="shared" si="13"/>
        <v>136.5415006718805</v>
      </c>
      <c r="AA31" s="232">
        <f t="shared" si="1"/>
        <v>161.4584993281195</v>
      </c>
      <c r="AB31" s="231">
        <f t="shared" si="2"/>
        <v>136.5415006718805</v>
      </c>
      <c r="AC31" s="317">
        <f t="shared" si="3"/>
        <v>161.4584993281195</v>
      </c>
      <c r="AD31" s="82">
        <f>$F$23*$F$22*LN(EXP($F31/$F$22) + EXP($G31/$F$22) + EXP($H31/$F$22) +EXP($I31/$F$22) )</f>
        <v>20.912860499415373</v>
      </c>
      <c r="AE31" s="206">
        <f t="shared" si="4"/>
        <v>6.5374220930802114</v>
      </c>
      <c r="AF31" s="194"/>
      <c r="AG31" s="114">
        <f>J31-J30</f>
        <v>-1.2427404916768969E-2</v>
      </c>
      <c r="AH31" s="100">
        <f>M31-M30</f>
        <v>1.2427404916768969E-2</v>
      </c>
      <c r="AI31" s="182">
        <f t="shared" si="15"/>
        <v>6.5374220930802114</v>
      </c>
      <c r="AJ31" s="7"/>
      <c r="AK31" s="7" t="str">
        <f t="shared" si="16"/>
        <v>Sold 0.012427404916769 Shares of State 1 at a cost of 6.53742</v>
      </c>
      <c r="AL31" s="7" t="str">
        <f t="shared" si="17"/>
        <v>Bought 0.012427404916769 Shares of State 2 at a cost of 6.53742</v>
      </c>
      <c r="AM31" s="185" t="str">
        <f t="shared" si="18"/>
        <v>Sold 0.012427404916769 Shares of State 1 at a cost of 6.53742Bought 0.012427404916769 Shares of State 2 at a cost of 6.53742</v>
      </c>
      <c r="AO31" s="7" t="s">
        <v>173</v>
      </c>
      <c r="AP31" s="7" t="s">
        <v>174</v>
      </c>
      <c r="AQ31" t="s">
        <v>227</v>
      </c>
      <c r="AV31" s="7"/>
      <c r="AW31" s="7"/>
    </row>
    <row r="32" spans="2:49" ht="18.75" x14ac:dyDescent="0.3">
      <c r="D32" s="21"/>
      <c r="E32" s="25">
        <v>4</v>
      </c>
      <c r="F32" s="316">
        <v>6</v>
      </c>
      <c r="G32" s="232">
        <v>8</v>
      </c>
      <c r="H32" s="231">
        <v>5</v>
      </c>
      <c r="I32" s="317">
        <v>7</v>
      </c>
      <c r="J32" s="326">
        <f t="shared" si="0"/>
        <v>0.23632778232153767</v>
      </c>
      <c r="K32" s="228">
        <f t="shared" si="0"/>
        <v>0.2886514051574024</v>
      </c>
      <c r="L32" s="227">
        <f t="shared" si="0"/>
        <v>0.21383822036598443</v>
      </c>
      <c r="M32" s="327">
        <f t="shared" si="0"/>
        <v>0.26118259215507561</v>
      </c>
      <c r="N32" s="487">
        <f t="shared" si="5"/>
        <v>0.52497918747894001</v>
      </c>
      <c r="O32" s="1047">
        <f t="shared" si="6"/>
        <v>0.47502081252106004</v>
      </c>
      <c r="P32" s="1055">
        <f t="shared" si="7"/>
        <v>0.4501660026875221</v>
      </c>
      <c r="Q32" s="473">
        <f t="shared" si="8"/>
        <v>0.54983399731247795</v>
      </c>
      <c r="R32" s="487">
        <f t="shared" si="9"/>
        <v>25.199000998989121</v>
      </c>
      <c r="S32" s="1048">
        <f t="shared" si="9"/>
        <v>22.800999001010883</v>
      </c>
      <c r="T32" s="492">
        <f t="shared" si="10"/>
        <v>112.54150067188053</v>
      </c>
      <c r="U32" s="473">
        <f t="shared" si="10"/>
        <v>137.4584993281195</v>
      </c>
      <c r="V32" s="487">
        <f t="shared" si="11"/>
        <v>27.199000998989121</v>
      </c>
      <c r="W32" s="1048">
        <f t="shared" si="11"/>
        <v>24.800999001010883</v>
      </c>
      <c r="X32" s="492">
        <f t="shared" si="12"/>
        <v>117.54150067188053</v>
      </c>
      <c r="Y32" s="473">
        <f t="shared" si="12"/>
        <v>142.4584993281195</v>
      </c>
      <c r="Z32" s="316">
        <f t="shared" si="13"/>
        <v>137.74050167086966</v>
      </c>
      <c r="AA32" s="232">
        <f t="shared" si="1"/>
        <v>162.65750032710861</v>
      </c>
      <c r="AB32" s="231">
        <f t="shared" si="2"/>
        <v>135.34249967289142</v>
      </c>
      <c r="AC32" s="317">
        <f t="shared" si="3"/>
        <v>160.25949832913039</v>
      </c>
      <c r="AD32" s="82">
        <f t="shared" si="14"/>
        <v>20.425355294551629</v>
      </c>
      <c r="AE32" s="206">
        <f t="shared" si="4"/>
        <v>-0.48750520486374427</v>
      </c>
      <c r="AF32" s="194"/>
      <c r="AG32" s="114">
        <f>J32-J31</f>
        <v>1.1244780977776647E-2</v>
      </c>
      <c r="AH32" s="100">
        <f>M32-M31</f>
        <v>-1.3734406501163365E-2</v>
      </c>
      <c r="AI32" s="182">
        <f t="shared" si="15"/>
        <v>-0.48750520486374427</v>
      </c>
      <c r="AJ32" s="7"/>
      <c r="AK32" s="7" t="str">
        <f t="shared" si="16"/>
        <v>Bought 0.0112447809777766 Shares of State 1 at a cost of -0.48751</v>
      </c>
      <c r="AL32" s="7" t="str">
        <f t="shared" si="17"/>
        <v>Sold 0.0137344065011634 Shares of State 2 at a cost of -0.48751</v>
      </c>
      <c r="AM32" s="185" t="str">
        <f t="shared" si="18"/>
        <v>Bought 0.0112447809777766 Shares of State 1 at a cost of -0.48751Sold 0.0137344065011634 Shares of State 2 at a cost of -0.48751</v>
      </c>
      <c r="AN32" s="7" t="s">
        <v>172</v>
      </c>
      <c r="AO32" s="496">
        <f>AE30</f>
        <v>0.51249479513625573</v>
      </c>
      <c r="AP32" s="497">
        <f>SUM(L38:M38)</f>
        <v>0.72916666666666674</v>
      </c>
      <c r="AQ32" s="498">
        <f>AP32/AO32</f>
        <v>1.4227786771430624</v>
      </c>
      <c r="AR32" s="7" t="s">
        <v>228</v>
      </c>
      <c r="AV32" s="7"/>
      <c r="AW32" s="7"/>
    </row>
    <row r="33" spans="2:49" ht="18.75" x14ac:dyDescent="0.3">
      <c r="E33" s="25">
        <v>5</v>
      </c>
      <c r="F33" s="316">
        <v>7</v>
      </c>
      <c r="G33" s="232">
        <v>8</v>
      </c>
      <c r="H33" s="231">
        <v>6</v>
      </c>
      <c r="I33" s="317">
        <v>7</v>
      </c>
      <c r="J33" s="326">
        <f t="shared" si="0"/>
        <v>0.24937604019289195</v>
      </c>
      <c r="K33" s="228">
        <f t="shared" si="0"/>
        <v>0.27560314728604801</v>
      </c>
      <c r="L33" s="227">
        <f t="shared" si="0"/>
        <v>0.22564477232816801</v>
      </c>
      <c r="M33" s="327">
        <f t="shared" si="0"/>
        <v>0.24937604019289195</v>
      </c>
      <c r="N33" s="487">
        <f t="shared" si="5"/>
        <v>0.52497918747894001</v>
      </c>
      <c r="O33" s="1047">
        <f t="shared" si="6"/>
        <v>0.47502081252105999</v>
      </c>
      <c r="P33" s="1055">
        <f t="shared" si="7"/>
        <v>0.47502081252105999</v>
      </c>
      <c r="Q33" s="473">
        <f>SUM(K33,M33)</f>
        <v>0.52497918747894001</v>
      </c>
      <c r="R33" s="487">
        <f t="shared" si="9"/>
        <v>25.199000998989121</v>
      </c>
      <c r="S33" s="1048">
        <f t="shared" si="9"/>
        <v>22.800999001010879</v>
      </c>
      <c r="T33" s="492">
        <f t="shared" si="10"/>
        <v>118.755203130265</v>
      </c>
      <c r="U33" s="473">
        <f t="shared" si="10"/>
        <v>131.24479686973501</v>
      </c>
      <c r="V33" s="487">
        <f t="shared" si="11"/>
        <v>27.199000998989121</v>
      </c>
      <c r="W33" s="1048">
        <f t="shared" si="11"/>
        <v>24.800999001010879</v>
      </c>
      <c r="X33" s="492">
        <f t="shared" si="12"/>
        <v>123.755203130265</v>
      </c>
      <c r="Y33" s="473">
        <f t="shared" si="12"/>
        <v>136.24479686973501</v>
      </c>
      <c r="Z33" s="316">
        <f t="shared" si="13"/>
        <v>143.95420412925412</v>
      </c>
      <c r="AA33" s="232">
        <f t="shared" si="1"/>
        <v>156.44379786872412</v>
      </c>
      <c r="AB33" s="231">
        <f t="shared" si="2"/>
        <v>141.55620213127588</v>
      </c>
      <c r="AC33" s="317">
        <f t="shared" si="3"/>
        <v>154.04579587074591</v>
      </c>
      <c r="AD33" s="82">
        <f t="shared" si="14"/>
        <v>20.887933201471419</v>
      </c>
      <c r="AE33" s="206">
        <f t="shared" si="4"/>
        <v>0.46257790691979039</v>
      </c>
      <c r="AF33" s="194"/>
      <c r="AG33" s="114">
        <f>J33-J32</f>
        <v>1.3048257871354274E-2</v>
      </c>
      <c r="AH33" s="100">
        <f>M33-M32</f>
        <v>-1.1806551962183665E-2</v>
      </c>
      <c r="AI33" s="182">
        <f t="shared" si="15"/>
        <v>0.46257790691979039</v>
      </c>
      <c r="AJ33" s="7"/>
      <c r="AK33" s="7" t="str">
        <f t="shared" si="16"/>
        <v>Bought 0.0130482578713543 Shares of State 1 at a cost of 0.46258</v>
      </c>
      <c r="AL33" s="7" t="str">
        <f t="shared" si="17"/>
        <v>Sold 0.0118065519621837 Shares of State 2 at a cost of 0.46258</v>
      </c>
      <c r="AM33" s="185" t="str">
        <f t="shared" si="18"/>
        <v>Bought 0.0130482578713543 Shares of State 1 at a cost of 0.46258Sold 0.0118065519621837 Shares of State 2 at a cost of 0.46258</v>
      </c>
      <c r="AN33" s="8" t="s">
        <v>175</v>
      </c>
      <c r="AO33" s="499">
        <f>SUM(L29:M29)</f>
        <v>0.5</v>
      </c>
      <c r="AP33" s="160">
        <f>SUM(L38:M38)</f>
        <v>0.72916666666666674</v>
      </c>
      <c r="AQ33" s="500">
        <f>AP33/AO33</f>
        <v>1.4583333333333335</v>
      </c>
      <c r="AR33" s="7" t="s">
        <v>226</v>
      </c>
      <c r="AV33" s="7"/>
      <c r="AW33" s="7"/>
    </row>
    <row r="34" spans="2:49" ht="18.75" x14ac:dyDescent="0.3">
      <c r="B34" t="s">
        <v>353</v>
      </c>
      <c r="C34" s="721">
        <f>SUM(K33,M33)</f>
        <v>0.52497918747894001</v>
      </c>
      <c r="D34" s="843">
        <f>C38/C34</f>
        <v>0.85336716328010986</v>
      </c>
      <c r="E34" s="25">
        <v>6</v>
      </c>
      <c r="F34" s="316">
        <v>7</v>
      </c>
      <c r="G34" s="232">
        <v>9</v>
      </c>
      <c r="H34" s="231">
        <v>6</v>
      </c>
      <c r="I34" s="317">
        <v>8</v>
      </c>
      <c r="J34" s="326">
        <f t="shared" si="0"/>
        <v>0.23632778232153764</v>
      </c>
      <c r="K34" s="228">
        <f t="shared" si="0"/>
        <v>0.28865140515740234</v>
      </c>
      <c r="L34" s="227">
        <f t="shared" si="0"/>
        <v>0.2138382203659844</v>
      </c>
      <c r="M34" s="327">
        <f t="shared" si="0"/>
        <v>0.26118259215507561</v>
      </c>
      <c r="N34" s="487">
        <f t="shared" si="5"/>
        <v>0.52497918747894001</v>
      </c>
      <c r="O34" s="1047">
        <f t="shared" si="6"/>
        <v>0.47502081252105999</v>
      </c>
      <c r="P34" s="1055">
        <f t="shared" si="7"/>
        <v>0.45016600268752205</v>
      </c>
      <c r="Q34" s="473">
        <f t="shared" si="8"/>
        <v>0.54983399731247795</v>
      </c>
      <c r="R34" s="487">
        <f t="shared" si="9"/>
        <v>25.199000998989121</v>
      </c>
      <c r="S34" s="1048">
        <f t="shared" si="9"/>
        <v>22.800999001010879</v>
      </c>
      <c r="T34" s="492">
        <f t="shared" si="10"/>
        <v>112.54150067188051</v>
      </c>
      <c r="U34" s="473">
        <f t="shared" si="10"/>
        <v>137.4584993281195</v>
      </c>
      <c r="V34" s="487">
        <f t="shared" si="11"/>
        <v>27.199000998989121</v>
      </c>
      <c r="W34" s="1048">
        <f t="shared" si="11"/>
        <v>24.800999001010879</v>
      </c>
      <c r="X34" s="492">
        <f t="shared" si="12"/>
        <v>117.54150067188051</v>
      </c>
      <c r="Y34" s="473">
        <f t="shared" si="12"/>
        <v>142.4584993281195</v>
      </c>
      <c r="Z34" s="316">
        <f t="shared" si="13"/>
        <v>137.74050167086963</v>
      </c>
      <c r="AA34" s="232">
        <f t="shared" si="1"/>
        <v>162.65750032710861</v>
      </c>
      <c r="AB34" s="231">
        <f t="shared" si="2"/>
        <v>135.34249967289139</v>
      </c>
      <c r="AC34" s="317">
        <f t="shared" si="3"/>
        <v>160.25949832913039</v>
      </c>
      <c r="AD34" s="82">
        <f t="shared" si="14"/>
        <v>21.425355294551629</v>
      </c>
      <c r="AE34" s="206">
        <f t="shared" si="4"/>
        <v>0.53742209308020961</v>
      </c>
      <c r="AF34" s="194"/>
      <c r="AG34" s="114">
        <f>J34-J31</f>
        <v>1.1244780977776619E-2</v>
      </c>
      <c r="AH34" s="100">
        <f>M34-M31</f>
        <v>-1.3734406501163365E-2</v>
      </c>
      <c r="AI34" s="182">
        <f t="shared" si="15"/>
        <v>0.53742209308020961</v>
      </c>
      <c r="AJ34" s="7"/>
      <c r="AK34" s="7" t="str">
        <f t="shared" si="16"/>
        <v>Bought 0.0112447809777766 Shares of State 1 at a cost of 0.53742</v>
      </c>
      <c r="AL34" s="7" t="str">
        <f t="shared" si="17"/>
        <v>Sold 0.0137344065011634 Shares of State 2 at a cost of 0.53742</v>
      </c>
      <c r="AM34" s="185" t="str">
        <f t="shared" si="18"/>
        <v>Bought 0.0112447809777766 Shares of State 1 at a cost of 0.53742Sold 0.0137344065011634 Shares of State 2 at a cost of 0.53742</v>
      </c>
      <c r="AN34" s="8" t="s">
        <v>88</v>
      </c>
      <c r="AO34" s="499">
        <f>AO32</f>
        <v>0.51249479513625573</v>
      </c>
      <c r="AP34" s="160">
        <f>AP32</f>
        <v>0.72916666666666674</v>
      </c>
      <c r="AQ34" s="500">
        <f>AP34/AO34</f>
        <v>1.4227786771430624</v>
      </c>
      <c r="AR34" s="7" t="s">
        <v>223</v>
      </c>
      <c r="AV34" s="7"/>
      <c r="AW34" s="7"/>
    </row>
    <row r="35" spans="2:49" ht="18.75" x14ac:dyDescent="0.3">
      <c r="D35" s="844">
        <f>U38/U33</f>
        <v>0.85336716328010975</v>
      </c>
      <c r="E35" s="25">
        <v>16</v>
      </c>
      <c r="F35" s="316">
        <v>1</v>
      </c>
      <c r="G35" s="232">
        <v>99</v>
      </c>
      <c r="H35" s="231">
        <v>1</v>
      </c>
      <c r="I35" s="317">
        <v>1</v>
      </c>
      <c r="J35" s="326">
        <f t="shared" si="0"/>
        <v>5.544237632684603E-5</v>
      </c>
      <c r="K35" s="228">
        <f t="shared" si="0"/>
        <v>0.99983367287101943</v>
      </c>
      <c r="L35" s="227">
        <f t="shared" si="0"/>
        <v>5.544237632684603E-5</v>
      </c>
      <c r="M35" s="327">
        <f t="shared" si="0"/>
        <v>5.544237632684603E-5</v>
      </c>
      <c r="N35" s="487">
        <f t="shared" si="5"/>
        <v>0.99988911524734625</v>
      </c>
      <c r="O35" s="1047">
        <f t="shared" si="6"/>
        <v>1.1088475265369206E-4</v>
      </c>
      <c r="P35" s="1055">
        <f t="shared" si="7"/>
        <v>1.1088475265369206E-4</v>
      </c>
      <c r="Q35" s="473">
        <f>SUM(K35,M35)</f>
        <v>0.99988911524734625</v>
      </c>
      <c r="R35" s="487">
        <f t="shared" si="9"/>
        <v>47.994677531872618</v>
      </c>
      <c r="S35" s="1048">
        <f t="shared" si="9"/>
        <v>5.3224681273772185E-3</v>
      </c>
      <c r="T35" s="492">
        <f t="shared" si="10"/>
        <v>2.7721188163423015E-2</v>
      </c>
      <c r="U35" s="473">
        <f t="shared" si="10"/>
        <v>249.97227881183656</v>
      </c>
      <c r="V35" s="487">
        <f t="shared" si="11"/>
        <v>49.994677531872618</v>
      </c>
      <c r="W35" s="1048">
        <f t="shared" si="11"/>
        <v>2.0053224681273774</v>
      </c>
      <c r="X35" s="492">
        <f t="shared" si="12"/>
        <v>5.0277211881634232</v>
      </c>
      <c r="Y35" s="473">
        <f t="shared" si="12"/>
        <v>254.97227881183656</v>
      </c>
      <c r="Z35" s="316">
        <f t="shared" si="13"/>
        <v>48.022398720036044</v>
      </c>
      <c r="AA35" s="232">
        <f t="shared" si="1"/>
        <v>297.96695634370917</v>
      </c>
      <c r="AB35" s="231">
        <f t="shared" si="2"/>
        <v>3.3043656290800236E-2</v>
      </c>
      <c r="AC35" s="317">
        <f t="shared" si="3"/>
        <v>249.97760127996395</v>
      </c>
      <c r="AD35" s="82">
        <f t="shared" si="14"/>
        <v>99.001663409628719</v>
      </c>
      <c r="AE35" s="206">
        <f t="shared" si="4"/>
        <v>77.576308115077097</v>
      </c>
      <c r="AF35" s="194"/>
      <c r="AG35" s="476">
        <f>J35-J32</f>
        <v>-0.23627233994521082</v>
      </c>
      <c r="AH35" s="100">
        <f>M35-M32</f>
        <v>-0.26112714977874879</v>
      </c>
      <c r="AI35" s="182">
        <f t="shared" si="15"/>
        <v>77.576308115077097</v>
      </c>
      <c r="AJ35" s="7"/>
      <c r="AK35" s="7" t="str">
        <f t="shared" si="16"/>
        <v>Sold 0.236272339945211 Shares of State 1 at a cost of 77.57631</v>
      </c>
      <c r="AL35" s="7" t="str">
        <f t="shared" si="17"/>
        <v>Sold 0.261127149778749 Shares of State 2 at a cost of 77.57631</v>
      </c>
      <c r="AM35" s="185" t="str">
        <f t="shared" si="18"/>
        <v>Sold 0.236272339945211 Shares of State 1 at a cost of 77.57631Sold 0.261127149778749 Shares of State 2 at a cost of 77.57631</v>
      </c>
      <c r="AN35" s="8" t="s">
        <v>178</v>
      </c>
      <c r="AO35" s="501">
        <f>AO33</f>
        <v>0.5</v>
      </c>
      <c r="AP35" s="502">
        <f>AP33</f>
        <v>0.72916666666666674</v>
      </c>
      <c r="AQ35" s="503">
        <f>AP35/AO35</f>
        <v>1.4583333333333335</v>
      </c>
      <c r="AR35" s="7" t="s">
        <v>225</v>
      </c>
      <c r="AV35" s="7"/>
      <c r="AW35" s="7"/>
    </row>
    <row r="36" spans="2:49" ht="18.75" x14ac:dyDescent="0.3">
      <c r="D36" s="21"/>
      <c r="E36" s="25">
        <v>17</v>
      </c>
      <c r="F36" s="316">
        <v>6</v>
      </c>
      <c r="G36" s="232">
        <v>8</v>
      </c>
      <c r="H36" s="231">
        <v>5</v>
      </c>
      <c r="I36" s="317">
        <v>7</v>
      </c>
      <c r="J36" s="326">
        <f t="shared" si="0"/>
        <v>0.23632778232153767</v>
      </c>
      <c r="K36" s="228">
        <f t="shared" si="0"/>
        <v>0.2886514051574024</v>
      </c>
      <c r="L36" s="227">
        <f t="shared" si="0"/>
        <v>0.21383822036598443</v>
      </c>
      <c r="M36" s="327">
        <f t="shared" si="0"/>
        <v>0.26118259215507561</v>
      </c>
      <c r="N36" s="487">
        <f t="shared" si="5"/>
        <v>0.52497918747894001</v>
      </c>
      <c r="O36" s="1047">
        <f t="shared" si="6"/>
        <v>0.47502081252106004</v>
      </c>
      <c r="P36" s="1055">
        <f t="shared" si="7"/>
        <v>0.4501660026875221</v>
      </c>
      <c r="Q36" s="473">
        <f t="shared" si="8"/>
        <v>0.54983399731247795</v>
      </c>
      <c r="R36" s="487">
        <f t="shared" si="9"/>
        <v>25.199000998989121</v>
      </c>
      <c r="S36" s="1048">
        <f t="shared" si="9"/>
        <v>22.800999001010883</v>
      </c>
      <c r="T36" s="492">
        <f t="shared" si="10"/>
        <v>112.54150067188053</v>
      </c>
      <c r="U36" s="473">
        <f t="shared" si="10"/>
        <v>137.4584993281195</v>
      </c>
      <c r="V36" s="487">
        <f t="shared" si="11"/>
        <v>27.199000998989121</v>
      </c>
      <c r="W36" s="1048">
        <f t="shared" si="11"/>
        <v>24.800999001010883</v>
      </c>
      <c r="X36" s="492">
        <f t="shared" si="12"/>
        <v>117.54150067188053</v>
      </c>
      <c r="Y36" s="473">
        <f t="shared" si="12"/>
        <v>142.4584993281195</v>
      </c>
      <c r="Z36" s="316">
        <f t="shared" si="13"/>
        <v>137.74050167086966</v>
      </c>
      <c r="AA36" s="232">
        <f t="shared" si="1"/>
        <v>162.65750032710861</v>
      </c>
      <c r="AB36" s="231">
        <f t="shared" si="2"/>
        <v>135.34249967289142</v>
      </c>
      <c r="AC36" s="317">
        <f t="shared" si="3"/>
        <v>160.25949832913039</v>
      </c>
      <c r="AD36" s="82">
        <f t="shared" si="14"/>
        <v>20.425355294551629</v>
      </c>
      <c r="AE36" s="206">
        <f t="shared" si="4"/>
        <v>-78.576308115077097</v>
      </c>
      <c r="AF36" s="194"/>
      <c r="AG36" s="114">
        <f>J36-J35</f>
        <v>0.23627233994521082</v>
      </c>
      <c r="AH36" s="100">
        <f>M36-M35</f>
        <v>0.26112714977874879</v>
      </c>
      <c r="AI36" s="182">
        <f t="shared" si="15"/>
        <v>-78.576308115077097</v>
      </c>
      <c r="AJ36" s="7"/>
      <c r="AK36" s="7" t="str">
        <f t="shared" si="16"/>
        <v>Bought 0.236272339945211 Shares of State 1 at a cost of -78.57631</v>
      </c>
      <c r="AL36" s="7" t="str">
        <f t="shared" si="17"/>
        <v>Bought 0.261127149778749 Shares of State 2 at a cost of -78.57631</v>
      </c>
      <c r="AM36" s="185" t="str">
        <f t="shared" si="18"/>
        <v>Bought 0.236272339945211 Shares of State 1 at a cost of -78.57631Bought 0.261127149778749 Shares of State 2 at a cost of -78.57631</v>
      </c>
      <c r="AN36" s="7"/>
      <c r="AO36" s="7"/>
      <c r="AP36" s="7"/>
      <c r="AQ36" s="7"/>
      <c r="AR36" s="7"/>
      <c r="AS36" s="7"/>
      <c r="AT36" s="7"/>
      <c r="AU36" s="7"/>
      <c r="AV36" s="7"/>
      <c r="AW36" s="7"/>
    </row>
    <row r="37" spans="2:49" ht="19.5" thickBot="1" x14ac:dyDescent="0.35">
      <c r="C37" s="842">
        <f>SUM(M38,L38)</f>
        <v>0.72916666666666674</v>
      </c>
      <c r="D37" s="21"/>
      <c r="E37" s="25">
        <v>18</v>
      </c>
      <c r="F37" s="318">
        <v>6</v>
      </c>
      <c r="G37" s="224">
        <v>4</v>
      </c>
      <c r="H37" s="223">
        <v>6.5</v>
      </c>
      <c r="I37" s="319">
        <v>6</v>
      </c>
      <c r="J37" s="328">
        <f t="shared" si="0"/>
        <v>0.25839780932949258</v>
      </c>
      <c r="K37" s="220">
        <f t="shared" si="0"/>
        <v>0.21155823302603627</v>
      </c>
      <c r="L37" s="219">
        <f t="shared" si="0"/>
        <v>0.27164614831497852</v>
      </c>
      <c r="M37" s="329">
        <f t="shared" si="0"/>
        <v>0.25839780932949258</v>
      </c>
      <c r="N37" s="488">
        <f t="shared" si="5"/>
        <v>0.46995604235552885</v>
      </c>
      <c r="O37" s="1053">
        <f t="shared" si="6"/>
        <v>0.5300439576444711</v>
      </c>
      <c r="P37" s="1057">
        <f t="shared" si="7"/>
        <v>0.5300439576444711</v>
      </c>
      <c r="Q37" s="474">
        <f t="shared" si="8"/>
        <v>0.46995604235552885</v>
      </c>
      <c r="R37" s="488">
        <f t="shared" si="9"/>
        <v>22.557890033065384</v>
      </c>
      <c r="S37" s="1050">
        <f t="shared" si="9"/>
        <v>25.442109966934613</v>
      </c>
      <c r="T37" s="493">
        <f t="shared" si="10"/>
        <v>132.51098941111778</v>
      </c>
      <c r="U37" s="474">
        <f t="shared" si="10"/>
        <v>117.48901058888221</v>
      </c>
      <c r="V37" s="488">
        <f t="shared" si="11"/>
        <v>24.557890033065384</v>
      </c>
      <c r="W37" s="1050">
        <f t="shared" si="11"/>
        <v>27.442109966934613</v>
      </c>
      <c r="X37" s="493">
        <f t="shared" si="12"/>
        <v>137.51098941111778</v>
      </c>
      <c r="Y37" s="474">
        <f t="shared" si="12"/>
        <v>122.48901058888221</v>
      </c>
      <c r="Z37" s="318">
        <f t="shared" si="13"/>
        <v>155.06887944418315</v>
      </c>
      <c r="AA37" s="224">
        <f t="shared" si="1"/>
        <v>140.0469006219476</v>
      </c>
      <c r="AB37" s="223">
        <f t="shared" si="2"/>
        <v>157.9530993780524</v>
      </c>
      <c r="AC37" s="319">
        <f t="shared" si="3"/>
        <v>142.93112055581682</v>
      </c>
      <c r="AD37" s="112">
        <f t="shared" si="14"/>
        <v>19.532549849366681</v>
      </c>
      <c r="AE37" s="505">
        <f t="shared" si="4"/>
        <v>-0.89280544518494764</v>
      </c>
      <c r="AF37" s="194"/>
      <c r="AG37" s="119">
        <f>J37-J36</f>
        <v>2.2070027007954907E-2</v>
      </c>
      <c r="AH37" s="102">
        <f>M37-M36</f>
        <v>-2.784782825583032E-3</v>
      </c>
      <c r="AI37" s="182">
        <f t="shared" si="15"/>
        <v>-0.89280544518494764</v>
      </c>
      <c r="AJ37" s="7"/>
      <c r="AK37" s="7" t="str">
        <f t="shared" si="16"/>
        <v>Bought 0.0220700270079549 Shares of State 1 at a cost of -0.89281</v>
      </c>
      <c r="AL37" s="7" t="str">
        <f t="shared" si="17"/>
        <v>Sold 0.00278478282558303 Shares of State 2 at a cost of -0.89281</v>
      </c>
      <c r="AM37" s="185" t="str">
        <f t="shared" si="18"/>
        <v>Bought 0.0220700270079549 Shares of State 1 at a cost of -0.89281Sold 0.00278478282558303 Shares of State 2 at a cost of -0.89281</v>
      </c>
      <c r="AN37" s="7"/>
      <c r="AO37" s="7"/>
      <c r="AP37" s="7"/>
      <c r="AQ37" s="7"/>
      <c r="AR37" s="7"/>
      <c r="AS37" s="7"/>
      <c r="AT37" s="7"/>
      <c r="AU37" s="7"/>
      <c r="AV37" s="7"/>
      <c r="AW37" s="7"/>
    </row>
    <row r="38" spans="2:49" ht="16.5" thickTop="1" thickBot="1" x14ac:dyDescent="0.3">
      <c r="C38" s="842">
        <f>SUM(K38,M38)</f>
        <v>0.44800000000000001</v>
      </c>
      <c r="E38" s="25" t="s">
        <v>97</v>
      </c>
      <c r="F38" s="320">
        <f>F37</f>
        <v>6</v>
      </c>
      <c r="G38" s="321">
        <f>G37</f>
        <v>4</v>
      </c>
      <c r="H38" s="322">
        <f>H37</f>
        <v>6.5</v>
      </c>
      <c r="I38" s="323">
        <f>I37</f>
        <v>6</v>
      </c>
      <c r="J38" s="469">
        <f>G41*G42</f>
        <v>0.14950000000000002</v>
      </c>
      <c r="K38" s="470">
        <f>F42*G41</f>
        <v>0.12133333333333335</v>
      </c>
      <c r="L38" s="470">
        <f>F41*G42</f>
        <v>0.40250000000000002</v>
      </c>
      <c r="M38" s="471">
        <f>F41*F42</f>
        <v>0.32666666666666666</v>
      </c>
      <c r="N38" s="489">
        <f>SUM(J38:K38)</f>
        <v>0.27083333333333337</v>
      </c>
      <c r="O38" s="1054">
        <f t="shared" si="6"/>
        <v>0.72916666666666674</v>
      </c>
      <c r="P38" s="1058">
        <f t="shared" si="7"/>
        <v>0.55200000000000005</v>
      </c>
      <c r="Q38" s="475">
        <f t="shared" si="8"/>
        <v>0.44800000000000001</v>
      </c>
      <c r="R38" s="489">
        <f t="shared" si="9"/>
        <v>13.000000000000002</v>
      </c>
      <c r="S38" s="1051">
        <f t="shared" si="9"/>
        <v>35</v>
      </c>
      <c r="T38" s="494">
        <f t="shared" si="10"/>
        <v>138</v>
      </c>
      <c r="U38" s="475">
        <f>Q38*$F$15</f>
        <v>112</v>
      </c>
      <c r="V38" s="489">
        <f t="shared" si="11"/>
        <v>15.000000000000002</v>
      </c>
      <c r="W38" s="1051">
        <f t="shared" si="11"/>
        <v>37</v>
      </c>
      <c r="X38" s="494">
        <f t="shared" si="12"/>
        <v>143</v>
      </c>
      <c r="Y38" s="475">
        <f t="shared" si="12"/>
        <v>117</v>
      </c>
      <c r="Z38" s="320">
        <f t="shared" si="13"/>
        <v>151</v>
      </c>
      <c r="AA38" s="321">
        <f t="shared" si="1"/>
        <v>125</v>
      </c>
      <c r="AB38" s="322">
        <f t="shared" si="2"/>
        <v>173</v>
      </c>
      <c r="AC38" s="323">
        <f t="shared" si="3"/>
        <v>147</v>
      </c>
      <c r="AD38" s="337">
        <f>$F$23*$F$22*LN(EXP($F38/$F$22) + EXP($G38/$F$22) + EXP($H38/$F$22) +EXP($I38/$F$22) )</f>
        <v>19.532549849366681</v>
      </c>
      <c r="AE38" s="8" t="s">
        <v>229</v>
      </c>
      <c r="AF38" s="7"/>
      <c r="AG38" s="7"/>
      <c r="AH38" s="7"/>
      <c r="AI38" s="7"/>
      <c r="AJ38" s="7"/>
      <c r="AK38" s="7"/>
      <c r="AL38" s="8"/>
      <c r="AM38" s="8"/>
      <c r="AN38" s="8"/>
      <c r="AO38" s="8"/>
      <c r="AP38" s="8"/>
      <c r="AQ38" s="7"/>
      <c r="AR38" s="7"/>
      <c r="AS38" s="7"/>
      <c r="AT38" s="7"/>
      <c r="AU38" s="7"/>
      <c r="AV38" s="7"/>
      <c r="AW38" s="7"/>
    </row>
    <row r="39" spans="2:49" ht="15.75" thickBot="1" x14ac:dyDescent="0.3">
      <c r="O39" s="239"/>
      <c r="Q39" s="239"/>
      <c r="S39" s="242"/>
      <c r="U39" s="242"/>
      <c r="W39" s="242"/>
      <c r="Y39" s="242"/>
      <c r="Z39" s="33"/>
      <c r="AA39" s="33"/>
      <c r="AB39" s="140"/>
      <c r="AC39" s="140"/>
      <c r="AD39" s="244">
        <f>SUMPRODUCT(J38:M38,F38:I38)</f>
        <v>5.9585833333333333</v>
      </c>
      <c r="AE39" t="s">
        <v>109</v>
      </c>
      <c r="AF39" s="7"/>
      <c r="AG39" s="7"/>
      <c r="AH39" s="7"/>
      <c r="AI39" s="7"/>
      <c r="AJ39" s="7"/>
      <c r="AK39" s="7"/>
      <c r="AQ39" s="7"/>
      <c r="AR39" s="7"/>
      <c r="AS39" s="7"/>
      <c r="AT39" s="182"/>
      <c r="AU39" s="7"/>
      <c r="AV39" s="7"/>
      <c r="AW39" s="7"/>
    </row>
    <row r="40" spans="2:49" ht="15.75" thickBot="1" x14ac:dyDescent="0.3">
      <c r="D40" s="1"/>
      <c r="E40" s="150" t="s">
        <v>170</v>
      </c>
      <c r="F40" s="287" t="s">
        <v>150</v>
      </c>
      <c r="G40" s="237" t="s">
        <v>167</v>
      </c>
      <c r="H40" s="140"/>
      <c r="I40" s="17"/>
      <c r="J40" s="17"/>
      <c r="K40" s="278"/>
      <c r="L40" s="17"/>
      <c r="M40" s="278"/>
      <c r="O40" s="239"/>
      <c r="Q40" s="239"/>
      <c r="R40" s="17"/>
      <c r="S40" s="239"/>
      <c r="U40" s="239"/>
      <c r="W40" s="239"/>
      <c r="Y40" s="239"/>
      <c r="Z40" s="207"/>
      <c r="AA40" s="7"/>
      <c r="AB40" s="8"/>
      <c r="AC40" s="140"/>
      <c r="AD40" s="244">
        <f>AD38-AD39</f>
        <v>13.573966516033348</v>
      </c>
      <c r="AE40" s="7" t="s">
        <v>102</v>
      </c>
      <c r="AF40" s="7"/>
      <c r="AG40" s="7"/>
      <c r="AH40" s="7"/>
      <c r="AI40" s="7"/>
      <c r="AJ40" s="7"/>
      <c r="AK40" s="7"/>
      <c r="AL40" s="7"/>
      <c r="AM40" s="7"/>
      <c r="AN40" s="7"/>
      <c r="AO40" s="7"/>
      <c r="AP40" s="7"/>
      <c r="AQ40" s="7"/>
      <c r="AR40" s="7"/>
      <c r="AS40" s="7"/>
      <c r="AT40" s="7"/>
      <c r="AU40" s="7"/>
      <c r="AV40" s="7"/>
      <c r="AW40" s="7"/>
    </row>
    <row r="41" spans="2:49" ht="15.75" thickBot="1" x14ac:dyDescent="0.3">
      <c r="D41" s="290" t="s">
        <v>168</v>
      </c>
      <c r="E41" s="462">
        <v>37</v>
      </c>
      <c r="F41" s="464">
        <f>(E41-$F$5)/$F$7</f>
        <v>0.72916666666666663</v>
      </c>
      <c r="G41" s="465">
        <f>1-F41</f>
        <v>0.27083333333333337</v>
      </c>
      <c r="H41" s="2"/>
      <c r="I41" s="260"/>
      <c r="J41" s="466">
        <f>G41*G42</f>
        <v>0.14950000000000002</v>
      </c>
      <c r="K41" s="467">
        <f>F42*G41</f>
        <v>0.12133333333333335</v>
      </c>
      <c r="L41" s="467">
        <f>F41*G42</f>
        <v>0.40250000000000002</v>
      </c>
      <c r="M41" s="468">
        <f>F41*F42</f>
        <v>0.32666666666666666</v>
      </c>
      <c r="O41" s="717">
        <f>SUM(N33:O33)</f>
        <v>1</v>
      </c>
      <c r="Q41" s="717">
        <f>SUM(P33:Q33)</f>
        <v>1</v>
      </c>
      <c r="R41" s="188"/>
      <c r="S41" s="717">
        <f>SUM(R33:S33)</f>
        <v>48</v>
      </c>
      <c r="U41" s="717">
        <f>SUM(T33:U33)</f>
        <v>250</v>
      </c>
      <c r="V41" s="188"/>
      <c r="W41" s="717">
        <f>SUM(V33-$F$5,W33-$F$5,$F$5)</f>
        <v>50</v>
      </c>
      <c r="Y41" s="717">
        <f>SUM(X33:Y33)</f>
        <v>260</v>
      </c>
      <c r="Z41" s="188">
        <f>SUM(Z35:AC35)</f>
        <v>596</v>
      </c>
      <c r="AA41" s="188"/>
      <c r="AB41" s="188"/>
      <c r="AC41" s="188"/>
      <c r="AD41" s="246">
        <f>AD29-AD40</f>
        <v>0.28897709516555814</v>
      </c>
      <c r="AE41" s="54" t="s">
        <v>103</v>
      </c>
      <c r="AF41" s="7"/>
      <c r="AG41" s="7"/>
      <c r="AH41" s="7"/>
      <c r="AI41" s="7"/>
      <c r="AJ41" s="8"/>
      <c r="AK41" s="8"/>
      <c r="AL41" s="8"/>
      <c r="AM41" s="28"/>
      <c r="AN41" s="28"/>
      <c r="AO41" s="28"/>
      <c r="AP41" s="28"/>
      <c r="AQ41" s="7"/>
      <c r="AR41" s="7"/>
      <c r="AS41" s="7"/>
      <c r="AT41" s="7"/>
      <c r="AU41" s="7"/>
      <c r="AV41" s="7"/>
      <c r="AW41" s="7"/>
    </row>
    <row r="42" spans="2:49" ht="15.75" thickBot="1" x14ac:dyDescent="0.3">
      <c r="D42" s="288" t="s">
        <v>169</v>
      </c>
      <c r="E42" s="463">
        <v>117</v>
      </c>
      <c r="F42" s="429">
        <f>(E42-$F$13)/$F$15</f>
        <v>0.44800000000000001</v>
      </c>
      <c r="G42" s="430">
        <f>1-F42</f>
        <v>0.55200000000000005</v>
      </c>
      <c r="O42" s="717">
        <f t="shared" ref="O42:Q44" si="19">SUM(N34:O34)</f>
        <v>1</v>
      </c>
      <c r="Q42" s="717">
        <f t="shared" si="19"/>
        <v>1</v>
      </c>
      <c r="R42" s="188"/>
      <c r="S42" s="717">
        <f>SUM(R34:S34)</f>
        <v>48</v>
      </c>
      <c r="U42" s="717">
        <f>SUM(T34:U34)</f>
        <v>250</v>
      </c>
      <c r="W42" s="717">
        <f>SUM(V34:W34)</f>
        <v>52</v>
      </c>
      <c r="Y42" s="717">
        <f>SUM(X34:Y34)</f>
        <v>260</v>
      </c>
      <c r="Z42" s="188">
        <f>SUM(Z36:AC36)</f>
        <v>596</v>
      </c>
      <c r="AA42" s="188"/>
      <c r="AB42" s="188"/>
      <c r="AC42" s="188"/>
      <c r="AD42" s="140"/>
      <c r="AE42" s="479"/>
      <c r="AF42" s="140"/>
      <c r="AG42" s="8"/>
      <c r="AH42" s="8"/>
      <c r="AI42" s="8"/>
      <c r="AU42" s="310"/>
    </row>
    <row r="43" spans="2:49" x14ac:dyDescent="0.25">
      <c r="O43" s="717">
        <f t="shared" si="19"/>
        <v>0.99999999999999989</v>
      </c>
      <c r="Q43" s="717">
        <f t="shared" si="19"/>
        <v>0.99999999999999989</v>
      </c>
      <c r="R43" s="188"/>
      <c r="S43" s="717">
        <f>SUM(R35:S35)</f>
        <v>47.999999999999993</v>
      </c>
      <c r="U43" s="717">
        <f>SUM(T35:U35)</f>
        <v>249.99999999999997</v>
      </c>
      <c r="W43" s="717">
        <f>SUM(V35:W35)</f>
        <v>51.999999999999993</v>
      </c>
      <c r="Y43" s="717">
        <f>SUM(X35:Y35)</f>
        <v>260</v>
      </c>
      <c r="Z43" s="188">
        <f>SUM(Z37:AC37)</f>
        <v>596</v>
      </c>
      <c r="AA43" s="188"/>
      <c r="AB43" s="188"/>
      <c r="AC43" s="188"/>
      <c r="AD43" s="140"/>
      <c r="AE43" s="140"/>
      <c r="AF43" s="140"/>
      <c r="AG43" s="8"/>
      <c r="AH43" s="8"/>
      <c r="AI43" s="8"/>
    </row>
    <row r="44" spans="2:49" x14ac:dyDescent="0.25">
      <c r="O44" s="717">
        <f t="shared" si="19"/>
        <v>1</v>
      </c>
      <c r="Q44" s="717">
        <f t="shared" si="19"/>
        <v>1</v>
      </c>
      <c r="R44" s="188"/>
      <c r="S44" s="717">
        <f>SUM(R36:S36)</f>
        <v>48</v>
      </c>
      <c r="U44" s="717">
        <f>SUM(T36:U36)</f>
        <v>250.00000000000003</v>
      </c>
      <c r="W44" s="717">
        <f>SUM(V36:W36)</f>
        <v>52</v>
      </c>
      <c r="Y44" s="717">
        <f>SUM(X36:Y36)</f>
        <v>260</v>
      </c>
      <c r="Z44" s="188">
        <f>SUM(Z38:AC38)</f>
        <v>596</v>
      </c>
      <c r="AA44" s="188"/>
      <c r="AB44" s="188"/>
      <c r="AC44" s="188"/>
      <c r="AD44" s="140"/>
      <c r="AE44" s="140"/>
      <c r="AF44" s="140"/>
      <c r="AG44" s="8"/>
      <c r="AH44" s="8"/>
      <c r="AI44" s="8"/>
    </row>
    <row r="45" spans="2:49" x14ac:dyDescent="0.25">
      <c r="O45" s="1612" t="s">
        <v>556</v>
      </c>
      <c r="P45" s="1612"/>
      <c r="Q45" s="1612"/>
      <c r="R45" s="188"/>
      <c r="S45" s="1612" t="s">
        <v>557</v>
      </c>
      <c r="T45" s="1612"/>
      <c r="U45" s="1612"/>
      <c r="V45" s="188"/>
      <c r="W45" s="1612" t="s">
        <v>558</v>
      </c>
      <c r="X45" s="1612"/>
      <c r="Y45" s="1612"/>
      <c r="Z45" s="8"/>
      <c r="AA45" s="8"/>
      <c r="AB45" s="8"/>
      <c r="AC45" s="8"/>
      <c r="AD45" s="8"/>
      <c r="AE45" s="8"/>
    </row>
    <row r="46" spans="2:49" x14ac:dyDescent="0.25">
      <c r="Q46" s="188"/>
      <c r="R46" s="188"/>
      <c r="S46" s="188"/>
      <c r="T46" s="188"/>
      <c r="U46" s="188"/>
      <c r="V46" s="188"/>
      <c r="W46" s="188"/>
      <c r="X46" s="188"/>
      <c r="Y46" s="188"/>
      <c r="Z46" s="8"/>
      <c r="AA46" s="8"/>
      <c r="AB46" s="8"/>
      <c r="AC46" s="8"/>
      <c r="AD46" s="8"/>
      <c r="AE46" s="8"/>
    </row>
    <row r="47" spans="2:49" x14ac:dyDescent="0.25">
      <c r="Q47" s="188"/>
      <c r="R47" s="188"/>
      <c r="S47" s="188"/>
      <c r="T47" s="188"/>
      <c r="U47" s="188"/>
      <c r="V47" s="188"/>
      <c r="W47" s="188"/>
      <c r="X47" s="188"/>
      <c r="Y47" s="188"/>
    </row>
    <row r="48" spans="2:49" x14ac:dyDescent="0.25">
      <c r="G48" s="832" t="s">
        <v>354</v>
      </c>
      <c r="Q48" s="188"/>
      <c r="R48" s="188"/>
      <c r="S48" s="188"/>
      <c r="T48" s="188"/>
      <c r="U48" s="188"/>
      <c r="V48" s="188"/>
      <c r="W48" s="188"/>
      <c r="X48" s="188"/>
      <c r="Y48" s="188"/>
    </row>
    <row r="49" spans="7:25" ht="15.75" thickBot="1" x14ac:dyDescent="0.3">
      <c r="W49" s="188"/>
      <c r="X49" s="188"/>
      <c r="Y49" s="188"/>
    </row>
    <row r="50" spans="7:25" x14ac:dyDescent="0.25">
      <c r="G50" s="854" t="s">
        <v>372</v>
      </c>
      <c r="H50" s="251"/>
      <c r="I50" s="251" t="s">
        <v>355</v>
      </c>
      <c r="J50" s="251"/>
      <c r="K50" s="251"/>
      <c r="L50" s="249"/>
      <c r="W50" s="188"/>
      <c r="X50" s="188"/>
    </row>
    <row r="51" spans="7:25" x14ac:dyDescent="0.25">
      <c r="G51" s="648"/>
      <c r="H51" s="17"/>
      <c r="I51" s="17" t="s">
        <v>377</v>
      </c>
      <c r="J51" s="17"/>
      <c r="K51" s="17"/>
      <c r="L51" s="195"/>
      <c r="W51" s="188"/>
      <c r="X51" s="188"/>
    </row>
    <row r="52" spans="7:25" x14ac:dyDescent="0.25">
      <c r="G52" s="648"/>
      <c r="H52" s="17"/>
      <c r="I52" s="17"/>
      <c r="J52" s="17"/>
      <c r="K52" s="17"/>
      <c r="L52" s="195"/>
      <c r="W52" s="188"/>
      <c r="X52" s="188"/>
    </row>
    <row r="53" spans="7:25" x14ac:dyDescent="0.25">
      <c r="G53" s="648"/>
      <c r="H53" s="17"/>
      <c r="I53" s="17" t="s">
        <v>367</v>
      </c>
      <c r="J53" s="189">
        <v>2</v>
      </c>
      <c r="K53" s="17"/>
      <c r="L53" s="195"/>
      <c r="W53" s="188"/>
      <c r="X53" s="188"/>
    </row>
    <row r="54" spans="7:25" x14ac:dyDescent="0.25">
      <c r="G54" s="648"/>
      <c r="H54" s="17"/>
      <c r="I54" s="17" t="s">
        <v>368</v>
      </c>
      <c r="J54" s="189">
        <v>50</v>
      </c>
      <c r="K54" s="17"/>
      <c r="L54" s="195"/>
      <c r="W54" s="188"/>
      <c r="X54" s="188"/>
    </row>
    <row r="55" spans="7:25" x14ac:dyDescent="0.25">
      <c r="G55" s="648"/>
      <c r="H55" s="17"/>
      <c r="I55" s="17" t="s">
        <v>369</v>
      </c>
      <c r="J55" s="189">
        <f>J54-J53</f>
        <v>48</v>
      </c>
      <c r="K55" s="17"/>
      <c r="L55" s="195"/>
    </row>
    <row r="56" spans="7:25" x14ac:dyDescent="0.25">
      <c r="G56" s="648"/>
      <c r="H56" s="17"/>
      <c r="I56" s="17" t="s">
        <v>381</v>
      </c>
      <c r="J56" s="189">
        <v>26</v>
      </c>
      <c r="K56" s="17"/>
      <c r="L56" s="195"/>
    </row>
    <row r="57" spans="7:25" x14ac:dyDescent="0.25">
      <c r="G57" s="648"/>
      <c r="H57" s="17"/>
      <c r="I57" s="17" t="s">
        <v>370</v>
      </c>
      <c r="J57" s="855">
        <f>J55/J54</f>
        <v>0.96</v>
      </c>
      <c r="K57" s="17"/>
      <c r="L57" s="856"/>
    </row>
    <row r="58" spans="7:25" x14ac:dyDescent="0.25">
      <c r="G58" s="648"/>
      <c r="H58" s="17"/>
      <c r="I58" s="547" t="s">
        <v>362</v>
      </c>
      <c r="J58" s="189">
        <f>(J56-J53)/J56</f>
        <v>0.92307692307692313</v>
      </c>
      <c r="K58" s="17" t="s">
        <v>385</v>
      </c>
      <c r="L58" s="856"/>
    </row>
    <row r="59" spans="7:25" x14ac:dyDescent="0.25">
      <c r="G59" s="648"/>
      <c r="H59" s="17"/>
      <c r="I59" s="17"/>
      <c r="J59" s="189"/>
      <c r="K59" s="17"/>
      <c r="L59" s="856"/>
    </row>
    <row r="60" spans="7:25" x14ac:dyDescent="0.25">
      <c r="G60" s="648"/>
      <c r="H60" s="17"/>
      <c r="I60" s="17" t="s">
        <v>357</v>
      </c>
      <c r="J60" s="17" t="s">
        <v>375</v>
      </c>
      <c r="K60" s="544">
        <f>11/24</f>
        <v>0.45833333333333331</v>
      </c>
      <c r="L60" s="857">
        <f>(S38-S29)/S29</f>
        <v>0.45833333333333331</v>
      </c>
    </row>
    <row r="61" spans="7:25" x14ac:dyDescent="0.25">
      <c r="G61" s="648"/>
      <c r="H61" s="17"/>
      <c r="I61" s="17" t="s">
        <v>358</v>
      </c>
      <c r="J61" s="17" t="s">
        <v>376</v>
      </c>
      <c r="K61" s="544">
        <f>11/26</f>
        <v>0.42307692307692307</v>
      </c>
      <c r="L61" s="857">
        <f>(W38-W29)/W29</f>
        <v>0.42307692307692307</v>
      </c>
    </row>
    <row r="62" spans="7:25" x14ac:dyDescent="0.25">
      <c r="G62" s="648"/>
      <c r="H62" s="17"/>
      <c r="I62" s="17"/>
      <c r="J62" s="17"/>
      <c r="K62" s="17"/>
      <c r="L62" s="195"/>
    </row>
    <row r="63" spans="7:25" x14ac:dyDescent="0.25">
      <c r="G63" s="648"/>
      <c r="H63" s="17"/>
      <c r="I63" s="17" t="s">
        <v>359</v>
      </c>
      <c r="J63" s="17"/>
      <c r="K63" s="17"/>
      <c r="L63" s="195"/>
    </row>
    <row r="64" spans="7:25" x14ac:dyDescent="0.25">
      <c r="G64" s="648"/>
      <c r="H64" s="17"/>
      <c r="I64" s="17"/>
      <c r="J64" s="17"/>
      <c r="K64" s="17"/>
      <c r="L64" s="195"/>
    </row>
    <row r="65" spans="7:12" x14ac:dyDescent="0.25">
      <c r="G65" s="648"/>
      <c r="H65" s="17"/>
      <c r="I65" s="17" t="s">
        <v>360</v>
      </c>
      <c r="J65" s="17"/>
      <c r="K65" s="17"/>
      <c r="L65" s="195"/>
    </row>
    <row r="66" spans="7:12" x14ac:dyDescent="0.25">
      <c r="G66" s="648"/>
      <c r="H66" s="189" t="s">
        <v>401</v>
      </c>
      <c r="I66" s="845">
        <v>1</v>
      </c>
      <c r="J66" s="17"/>
      <c r="K66" s="17"/>
      <c r="L66" s="195"/>
    </row>
    <row r="67" spans="7:12" x14ac:dyDescent="0.25">
      <c r="G67" s="648"/>
      <c r="H67" s="17"/>
      <c r="I67" s="837" t="s">
        <v>365</v>
      </c>
      <c r="J67" s="837" t="s">
        <v>366</v>
      </c>
      <c r="K67" s="17"/>
      <c r="L67" s="195"/>
    </row>
    <row r="68" spans="7:12" x14ac:dyDescent="0.25">
      <c r="G68" s="890">
        <f>J58</f>
        <v>0.92307692307692313</v>
      </c>
      <c r="H68" s="21" t="s">
        <v>12</v>
      </c>
      <c r="I68" s="849">
        <f>(1-G69)*I66</f>
        <v>0.92307692307692313</v>
      </c>
      <c r="J68" s="850">
        <f>I68*(1+L60)</f>
        <v>1.3461538461538463</v>
      </c>
      <c r="K68" s="17"/>
      <c r="L68" s="195"/>
    </row>
    <row r="69" spans="7:12" ht="15.75" thickBot="1" x14ac:dyDescent="0.3">
      <c r="G69" s="890">
        <f>1-G68</f>
        <v>7.6923076923076872E-2</v>
      </c>
      <c r="H69" s="891" t="s">
        <v>361</v>
      </c>
      <c r="I69" s="851">
        <f>G69*I66</f>
        <v>7.6923076923076872E-2</v>
      </c>
      <c r="J69" s="852">
        <f>I69</f>
        <v>7.6923076923076872E-2</v>
      </c>
      <c r="K69" s="17"/>
      <c r="L69" s="195"/>
    </row>
    <row r="70" spans="7:12" ht="15.75" thickTop="1" x14ac:dyDescent="0.25">
      <c r="G70" s="648"/>
      <c r="H70" s="142" t="s">
        <v>363</v>
      </c>
      <c r="I70" s="853">
        <f>SUM(I68:I69)</f>
        <v>1</v>
      </c>
      <c r="J70" s="853">
        <f>SUM(J68:J69)</f>
        <v>1.4230769230769231</v>
      </c>
      <c r="K70" s="17"/>
      <c r="L70" s="195"/>
    </row>
    <row r="71" spans="7:12" x14ac:dyDescent="0.25">
      <c r="G71" s="648"/>
      <c r="H71" s="142" t="s">
        <v>364</v>
      </c>
      <c r="I71" s="846">
        <f>(J70-I70)/I70</f>
        <v>0.42307692307692313</v>
      </c>
      <c r="J71" s="17"/>
      <c r="K71" s="17"/>
      <c r="L71" s="858"/>
    </row>
    <row r="72" spans="7:12" ht="15.75" thickBot="1" x14ac:dyDescent="0.3">
      <c r="G72" s="859"/>
      <c r="H72" s="252"/>
      <c r="I72" s="252"/>
      <c r="J72" s="252"/>
      <c r="K72" s="252"/>
      <c r="L72" s="250"/>
    </row>
    <row r="73" spans="7:12" ht="15.75" thickBot="1" x14ac:dyDescent="0.3"/>
    <row r="74" spans="7:12" x14ac:dyDescent="0.25">
      <c r="G74" s="854" t="s">
        <v>371</v>
      </c>
      <c r="H74" s="251"/>
      <c r="I74" s="251" t="s">
        <v>355</v>
      </c>
      <c r="J74" s="251"/>
      <c r="K74" s="251"/>
      <c r="L74" s="249"/>
    </row>
    <row r="75" spans="7:12" x14ac:dyDescent="0.25">
      <c r="G75" s="648"/>
      <c r="H75" s="17"/>
      <c r="I75" s="17" t="s">
        <v>356</v>
      </c>
      <c r="J75" s="17"/>
      <c r="K75" s="17"/>
      <c r="L75" s="195"/>
    </row>
    <row r="76" spans="7:12" x14ac:dyDescent="0.25">
      <c r="G76" s="648"/>
      <c r="H76" s="17"/>
      <c r="I76" s="17"/>
      <c r="J76" s="17"/>
      <c r="K76" s="17"/>
      <c r="L76" s="195"/>
    </row>
    <row r="77" spans="7:12" x14ac:dyDescent="0.25">
      <c r="G77" s="648"/>
      <c r="H77" s="17"/>
      <c r="I77" s="17" t="s">
        <v>367</v>
      </c>
      <c r="J77" s="189">
        <v>1000</v>
      </c>
      <c r="K77" s="17"/>
      <c r="L77" s="195"/>
    </row>
    <row r="78" spans="7:12" x14ac:dyDescent="0.25">
      <c r="G78" s="648"/>
      <c r="H78" s="17"/>
      <c r="I78" s="17" t="s">
        <v>368</v>
      </c>
      <c r="J78" s="189">
        <v>2000</v>
      </c>
      <c r="K78" s="17"/>
      <c r="L78" s="195"/>
    </row>
    <row r="79" spans="7:12" x14ac:dyDescent="0.25">
      <c r="G79" s="648"/>
      <c r="H79" s="17"/>
      <c r="I79" s="17" t="s">
        <v>369</v>
      </c>
      <c r="J79" s="189">
        <f>J78-J77</f>
        <v>1000</v>
      </c>
      <c r="K79" s="17"/>
      <c r="L79" s="195"/>
    </row>
    <row r="80" spans="7:12" x14ac:dyDescent="0.25">
      <c r="G80" s="648"/>
      <c r="H80" s="17"/>
      <c r="I80" s="17" t="s">
        <v>381</v>
      </c>
      <c r="J80" s="189">
        <v>1600</v>
      </c>
      <c r="K80" s="17"/>
      <c r="L80" s="195"/>
    </row>
    <row r="81" spans="7:12" x14ac:dyDescent="0.25">
      <c r="G81" s="648"/>
      <c r="H81" s="17"/>
      <c r="I81" s="547" t="s">
        <v>362</v>
      </c>
      <c r="J81" s="189">
        <f>(J80-J77)/J80</f>
        <v>0.375</v>
      </c>
      <c r="K81" s="17"/>
      <c r="L81" s="195"/>
    </row>
    <row r="82" spans="7:12" x14ac:dyDescent="0.25">
      <c r="G82" s="648"/>
      <c r="H82" s="17"/>
      <c r="I82" s="17"/>
      <c r="J82" s="189"/>
      <c r="K82" s="17"/>
      <c r="L82" s="195"/>
    </row>
    <row r="83" spans="7:12" x14ac:dyDescent="0.25">
      <c r="G83" s="648"/>
      <c r="H83" s="17"/>
      <c r="I83" s="17" t="s">
        <v>357</v>
      </c>
      <c r="J83" s="860" t="s">
        <v>374</v>
      </c>
      <c r="K83" s="544">
        <f xml:space="preserve"> -200/600</f>
        <v>-0.33333333333333331</v>
      </c>
      <c r="L83" s="195"/>
    </row>
    <row r="84" spans="7:12" x14ac:dyDescent="0.25">
      <c r="G84" s="648"/>
      <c r="H84" s="17"/>
      <c r="I84" s="17" t="s">
        <v>358</v>
      </c>
      <c r="J84" s="860" t="s">
        <v>373</v>
      </c>
      <c r="K84" s="544">
        <f xml:space="preserve"> -200/1600</f>
        <v>-0.125</v>
      </c>
      <c r="L84" s="195"/>
    </row>
    <row r="85" spans="7:12" x14ac:dyDescent="0.25">
      <c r="G85" s="648"/>
      <c r="H85" s="17"/>
      <c r="I85" s="17"/>
      <c r="J85" s="17"/>
      <c r="K85" s="17"/>
      <c r="L85" s="195"/>
    </row>
    <row r="86" spans="7:12" x14ac:dyDescent="0.25">
      <c r="G86" s="648"/>
      <c r="H86" s="17"/>
      <c r="I86" s="17" t="s">
        <v>360</v>
      </c>
      <c r="J86" s="17"/>
      <c r="K86" s="17"/>
      <c r="L86" s="195"/>
    </row>
    <row r="87" spans="7:12" x14ac:dyDescent="0.25">
      <c r="G87" s="648"/>
      <c r="H87" s="189" t="s">
        <v>401</v>
      </c>
      <c r="I87" s="845">
        <v>1</v>
      </c>
      <c r="J87" s="17"/>
      <c r="K87" s="17"/>
      <c r="L87" s="195"/>
    </row>
    <row r="88" spans="7:12" x14ac:dyDescent="0.25">
      <c r="G88" s="648"/>
      <c r="H88" s="17"/>
      <c r="I88" s="837" t="s">
        <v>365</v>
      </c>
      <c r="J88" s="837" t="s">
        <v>366</v>
      </c>
      <c r="K88" s="17"/>
      <c r="L88" s="195"/>
    </row>
    <row r="89" spans="7:12" x14ac:dyDescent="0.25">
      <c r="G89" s="890">
        <f>J81</f>
        <v>0.375</v>
      </c>
      <c r="H89" s="21" t="s">
        <v>12</v>
      </c>
      <c r="I89" s="849">
        <f>I87-I90</f>
        <v>0.375</v>
      </c>
      <c r="J89" s="850">
        <f>I89*(1+K83)</f>
        <v>0.25</v>
      </c>
      <c r="K89" s="17"/>
      <c r="L89" s="195"/>
    </row>
    <row r="90" spans="7:12" ht="15.75" thickBot="1" x14ac:dyDescent="0.3">
      <c r="G90" s="890">
        <f>1-G89</f>
        <v>0.625</v>
      </c>
      <c r="H90" s="891" t="s">
        <v>361</v>
      </c>
      <c r="I90" s="851">
        <f>G90*I87</f>
        <v>0.625</v>
      </c>
      <c r="J90" s="852">
        <f>I90</f>
        <v>0.625</v>
      </c>
      <c r="K90" s="17"/>
      <c r="L90" s="195"/>
    </row>
    <row r="91" spans="7:12" ht="15.75" thickTop="1" x14ac:dyDescent="0.25">
      <c r="G91" s="648"/>
      <c r="H91" s="142" t="s">
        <v>363</v>
      </c>
      <c r="I91" s="853">
        <f>SUM(I89:I90)</f>
        <v>1</v>
      </c>
      <c r="J91" s="853">
        <f>SUM(J89:J90)</f>
        <v>0.875</v>
      </c>
      <c r="K91" s="17"/>
      <c r="L91" s="195"/>
    </row>
    <row r="92" spans="7:12" x14ac:dyDescent="0.25">
      <c r="G92" s="648"/>
      <c r="H92" s="142" t="s">
        <v>364</v>
      </c>
      <c r="I92" s="846">
        <f>(J91-I91)/I91</f>
        <v>-0.125</v>
      </c>
      <c r="J92" s="17"/>
      <c r="K92" s="861"/>
      <c r="L92" s="195"/>
    </row>
    <row r="93" spans="7:12" ht="15.75" thickBot="1" x14ac:dyDescent="0.3">
      <c r="G93" s="859"/>
      <c r="H93" s="252"/>
      <c r="I93" s="252"/>
      <c r="J93" s="252"/>
      <c r="K93" s="252"/>
      <c r="L93" s="250"/>
    </row>
    <row r="94" spans="7:12" ht="15.75" thickBot="1" x14ac:dyDescent="0.3"/>
    <row r="95" spans="7:12" x14ac:dyDescent="0.25">
      <c r="G95" s="854" t="s">
        <v>378</v>
      </c>
      <c r="H95" s="251"/>
      <c r="I95" s="251" t="s">
        <v>355</v>
      </c>
      <c r="J95" s="251"/>
      <c r="K95" s="251"/>
      <c r="L95" s="249"/>
    </row>
    <row r="96" spans="7:12" x14ac:dyDescent="0.25">
      <c r="G96" s="648"/>
      <c r="H96" s="17"/>
      <c r="I96" s="17" t="s">
        <v>379</v>
      </c>
      <c r="J96" s="17"/>
      <c r="K96" s="17"/>
      <c r="L96" s="195"/>
    </row>
    <row r="97" spans="7:12" x14ac:dyDescent="0.25">
      <c r="G97" s="648"/>
      <c r="H97" s="17"/>
      <c r="I97" s="17"/>
      <c r="J97" s="17"/>
      <c r="K97" s="17"/>
      <c r="L97" s="195"/>
    </row>
    <row r="98" spans="7:12" x14ac:dyDescent="0.25">
      <c r="G98" s="648"/>
      <c r="H98" s="17"/>
      <c r="I98" s="17" t="s">
        <v>367</v>
      </c>
      <c r="J98" s="189">
        <v>16</v>
      </c>
      <c r="K98" s="17"/>
      <c r="L98" s="195"/>
    </row>
    <row r="99" spans="7:12" x14ac:dyDescent="0.25">
      <c r="G99" s="648"/>
      <c r="H99" s="17"/>
      <c r="I99" s="17" t="s">
        <v>368</v>
      </c>
      <c r="J99" s="189">
        <v>18</v>
      </c>
      <c r="K99" s="17"/>
      <c r="L99" s="195"/>
    </row>
    <row r="100" spans="7:12" x14ac:dyDescent="0.25">
      <c r="G100" s="648"/>
      <c r="H100" s="17"/>
      <c r="I100" s="17" t="s">
        <v>369</v>
      </c>
      <c r="J100" s="189">
        <f>J99-J98</f>
        <v>2</v>
      </c>
      <c r="K100" s="189"/>
      <c r="L100" s="195"/>
    </row>
    <row r="101" spans="7:12" x14ac:dyDescent="0.25">
      <c r="G101" s="648"/>
      <c r="H101" s="17"/>
      <c r="I101" s="17" t="s">
        <v>381</v>
      </c>
      <c r="J101" s="189">
        <v>17.5</v>
      </c>
      <c r="K101" s="855"/>
      <c r="L101" s="195"/>
    </row>
    <row r="102" spans="7:12" x14ac:dyDescent="0.25">
      <c r="G102" s="648"/>
      <c r="H102" s="17"/>
      <c r="I102" s="547" t="s">
        <v>362</v>
      </c>
      <c r="J102" s="189">
        <f>(J101-J98)/J101</f>
        <v>8.5714285714285715E-2</v>
      </c>
      <c r="K102" s="189"/>
      <c r="L102" s="195"/>
    </row>
    <row r="103" spans="7:12" x14ac:dyDescent="0.25">
      <c r="G103" s="648"/>
      <c r="H103" s="17"/>
      <c r="I103" s="17"/>
      <c r="J103" s="189"/>
      <c r="K103" s="17"/>
      <c r="L103" s="195"/>
    </row>
    <row r="104" spans="7:12" x14ac:dyDescent="0.25">
      <c r="G104" s="648"/>
      <c r="H104" s="17"/>
      <c r="I104" s="17" t="s">
        <v>357</v>
      </c>
      <c r="J104" s="860" t="s">
        <v>382</v>
      </c>
      <c r="K104" s="544">
        <f xml:space="preserve"> 0.5/1.5</f>
        <v>0.33333333333333331</v>
      </c>
      <c r="L104" s="195"/>
    </row>
    <row r="105" spans="7:12" x14ac:dyDescent="0.25">
      <c r="G105" s="648"/>
      <c r="H105" s="17"/>
      <c r="I105" s="17" t="s">
        <v>358</v>
      </c>
      <c r="J105" s="860" t="s">
        <v>380</v>
      </c>
      <c r="K105" s="862">
        <f xml:space="preserve"> 0.5/17.5</f>
        <v>2.8571428571428571E-2</v>
      </c>
      <c r="L105" s="195"/>
    </row>
    <row r="106" spans="7:12" x14ac:dyDescent="0.25">
      <c r="G106" s="648"/>
      <c r="H106" s="17"/>
      <c r="I106" s="17"/>
      <c r="J106" s="17"/>
      <c r="K106" s="17"/>
      <c r="L106" s="195"/>
    </row>
    <row r="107" spans="7:12" x14ac:dyDescent="0.25">
      <c r="G107" s="648"/>
      <c r="H107" s="17"/>
      <c r="I107" s="17" t="s">
        <v>360</v>
      </c>
      <c r="J107" s="17"/>
      <c r="K107" s="17"/>
      <c r="L107" s="195"/>
    </row>
    <row r="108" spans="7:12" x14ac:dyDescent="0.25">
      <c r="G108" s="648"/>
      <c r="H108" s="189" t="s">
        <v>401</v>
      </c>
      <c r="I108" s="845">
        <v>1</v>
      </c>
      <c r="J108" s="17"/>
      <c r="K108" s="17"/>
      <c r="L108" s="195"/>
    </row>
    <row r="109" spans="7:12" x14ac:dyDescent="0.25">
      <c r="G109" s="648"/>
      <c r="H109" s="17"/>
      <c r="I109" s="837" t="s">
        <v>365</v>
      </c>
      <c r="J109" s="837" t="s">
        <v>366</v>
      </c>
      <c r="K109" s="17"/>
      <c r="L109" s="195"/>
    </row>
    <row r="110" spans="7:12" x14ac:dyDescent="0.25">
      <c r="G110" s="890">
        <f>J102</f>
        <v>8.5714285714285715E-2</v>
      </c>
      <c r="H110" s="21" t="s">
        <v>12</v>
      </c>
      <c r="I110" s="847">
        <f>I108*G110</f>
        <v>8.5714285714285715E-2</v>
      </c>
      <c r="J110" s="850">
        <f>I110*(1+K104)</f>
        <v>0.11428571428571428</v>
      </c>
      <c r="K110" s="17"/>
      <c r="L110" s="195"/>
    </row>
    <row r="111" spans="7:12" ht="15.75" thickBot="1" x14ac:dyDescent="0.3">
      <c r="G111" s="890">
        <f>1-G110</f>
        <v>0.91428571428571426</v>
      </c>
      <c r="H111" s="891" t="s">
        <v>361</v>
      </c>
      <c r="I111" s="851">
        <f>I108-I110</f>
        <v>0.91428571428571426</v>
      </c>
      <c r="J111" s="852">
        <f>I111</f>
        <v>0.91428571428571426</v>
      </c>
      <c r="K111" s="17"/>
      <c r="L111" s="195"/>
    </row>
    <row r="112" spans="7:12" ht="15.75" thickTop="1" x14ac:dyDescent="0.25">
      <c r="G112" s="648"/>
      <c r="H112" s="142" t="s">
        <v>363</v>
      </c>
      <c r="I112" s="853">
        <f>SUM(I110:I111)</f>
        <v>1</v>
      </c>
      <c r="J112" s="853">
        <f>SUM(J110:J111)</f>
        <v>1.0285714285714285</v>
      </c>
      <c r="K112" s="17"/>
      <c r="L112" s="195"/>
    </row>
    <row r="113" spans="7:12" x14ac:dyDescent="0.25">
      <c r="G113" s="648"/>
      <c r="H113" s="142" t="s">
        <v>364</v>
      </c>
      <c r="I113" s="848">
        <f>(J112-I112)/I112</f>
        <v>2.857142857142847E-2</v>
      </c>
      <c r="J113" s="17"/>
      <c r="K113" s="863"/>
      <c r="L113" s="195"/>
    </row>
    <row r="114" spans="7:12" ht="15.75" thickBot="1" x14ac:dyDescent="0.3">
      <c r="G114" s="859"/>
      <c r="H114" s="252"/>
      <c r="I114" s="252"/>
      <c r="J114" s="252"/>
      <c r="K114" s="252"/>
      <c r="L114" s="250"/>
    </row>
  </sheetData>
  <mergeCells count="13">
    <mergeCell ref="S45:U45"/>
    <mergeCell ref="W45:Y45"/>
    <mergeCell ref="N28:O28"/>
    <mergeCell ref="R28:S28"/>
    <mergeCell ref="V28:W28"/>
    <mergeCell ref="P28:Q28"/>
    <mergeCell ref="T28:U28"/>
    <mergeCell ref="X28:Y28"/>
    <mergeCell ref="L20:N24"/>
    <mergeCell ref="D4:D10"/>
    <mergeCell ref="D12:D18"/>
    <mergeCell ref="D20:D24"/>
    <mergeCell ref="O45:Q4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156CB-766B-442C-B776-2B66C5E26F11}">
  <sheetPr>
    <tabColor rgb="FF00B050"/>
  </sheetPr>
  <dimension ref="B3:AB83"/>
  <sheetViews>
    <sheetView zoomScale="70" zoomScaleNormal="70" workbookViewId="0">
      <selection activeCell="Z5" sqref="Z5"/>
    </sheetView>
  </sheetViews>
  <sheetFormatPr defaultRowHeight="15" x14ac:dyDescent="0.25"/>
  <cols>
    <col min="4" max="4" width="9.140625" customWidth="1"/>
    <col min="6" max="6" width="15.28515625" customWidth="1"/>
  </cols>
  <sheetData>
    <row r="3" spans="2:15" ht="31.5" x14ac:dyDescent="0.5">
      <c r="B3" s="186" t="s">
        <v>879</v>
      </c>
      <c r="D3" s="139"/>
      <c r="E3" s="33"/>
      <c r="F3" s="33"/>
      <c r="G3" s="33"/>
      <c r="H3" s="33"/>
      <c r="I3" s="33"/>
      <c r="J3" s="33"/>
      <c r="K3" s="33"/>
      <c r="L3" s="33"/>
      <c r="M3" s="33"/>
    </row>
    <row r="4" spans="2:15" ht="18" customHeight="1" x14ac:dyDescent="0.35">
      <c r="B4" s="26" t="s">
        <v>881</v>
      </c>
      <c r="D4" s="139"/>
      <c r="E4" s="33"/>
      <c r="F4" s="33"/>
      <c r="G4" s="33"/>
      <c r="H4" s="33"/>
      <c r="I4" s="33"/>
      <c r="J4" s="33"/>
      <c r="K4" s="33"/>
      <c r="L4" s="33"/>
      <c r="M4" s="33"/>
    </row>
    <row r="5" spans="2:15" ht="18" customHeight="1" x14ac:dyDescent="0.35">
      <c r="B5" s="26" t="s">
        <v>893</v>
      </c>
      <c r="D5" s="139"/>
      <c r="E5" s="33"/>
      <c r="F5" s="33"/>
      <c r="G5" s="33"/>
      <c r="H5" s="33"/>
      <c r="I5" s="33"/>
      <c r="J5" s="33"/>
      <c r="K5" s="33"/>
      <c r="L5" s="33"/>
      <c r="M5" s="33"/>
    </row>
    <row r="6" spans="2:15" ht="18" customHeight="1" x14ac:dyDescent="0.35">
      <c r="B6" s="26"/>
      <c r="D6" s="139"/>
      <c r="E6" s="33"/>
      <c r="F6" s="33"/>
      <c r="G6" s="33"/>
      <c r="H6" s="33"/>
      <c r="I6" s="33"/>
      <c r="J6" s="33"/>
      <c r="K6" s="33"/>
      <c r="L6" s="33"/>
      <c r="M6" s="33"/>
    </row>
    <row r="7" spans="2:15" ht="21" x14ac:dyDescent="0.35">
      <c r="D7" s="139"/>
      <c r="E7" s="33"/>
      <c r="F7" s="33"/>
      <c r="G7" s="33"/>
      <c r="H7" s="33"/>
      <c r="I7" s="33"/>
      <c r="J7" s="33"/>
      <c r="K7" s="33"/>
      <c r="L7" s="33"/>
      <c r="M7" s="33"/>
    </row>
    <row r="8" spans="2:15" x14ac:dyDescent="0.25">
      <c r="C8" s="1564" t="s">
        <v>159</v>
      </c>
      <c r="D8" s="150" t="s">
        <v>101</v>
      </c>
      <c r="E8" s="150" t="s">
        <v>871</v>
      </c>
      <c r="F8" s="150"/>
      <c r="G8" s="264"/>
      <c r="H8" s="264"/>
      <c r="I8" s="264"/>
      <c r="J8" s="264"/>
      <c r="K8" s="264"/>
      <c r="L8" s="264"/>
      <c r="M8" s="264"/>
      <c r="N8" s="150"/>
      <c r="O8" s="237"/>
    </row>
    <row r="9" spans="2:15" x14ac:dyDescent="0.25">
      <c r="C9" s="1565"/>
      <c r="D9" s="17" t="s">
        <v>145</v>
      </c>
      <c r="E9" s="1242">
        <v>15</v>
      </c>
      <c r="F9" s="7" t="s">
        <v>146</v>
      </c>
      <c r="G9" s="17"/>
      <c r="H9" s="17"/>
      <c r="I9" s="17"/>
      <c r="J9" s="17"/>
      <c r="K9" s="17"/>
      <c r="L9" s="17"/>
      <c r="M9" s="17"/>
      <c r="N9" s="7"/>
      <c r="O9" s="6"/>
    </row>
    <row r="10" spans="2:15" x14ac:dyDescent="0.25">
      <c r="C10" s="1565"/>
      <c r="D10" s="17" t="s">
        <v>148</v>
      </c>
      <c r="E10" s="1242">
        <v>25</v>
      </c>
      <c r="F10" s="7" t="s">
        <v>147</v>
      </c>
      <c r="G10" s="17"/>
      <c r="H10" s="17"/>
      <c r="I10" s="17"/>
      <c r="J10" s="17"/>
      <c r="K10" s="17"/>
      <c r="L10" s="17"/>
      <c r="M10" s="17"/>
      <c r="N10" s="7"/>
      <c r="O10" s="6"/>
    </row>
    <row r="11" spans="2:15" x14ac:dyDescent="0.25">
      <c r="C11" s="1566"/>
      <c r="D11" s="265" t="s">
        <v>149</v>
      </c>
      <c r="E11" s="1245">
        <f>E10-E9</f>
        <v>10</v>
      </c>
      <c r="F11" s="245" t="s">
        <v>150</v>
      </c>
      <c r="G11" s="257"/>
      <c r="H11" s="257"/>
      <c r="I11" s="257"/>
      <c r="J11" s="257"/>
      <c r="K11" s="257"/>
      <c r="L11" s="257"/>
      <c r="M11" s="257"/>
      <c r="N11" s="245"/>
      <c r="O11" s="3"/>
    </row>
    <row r="12" spans="2:15" x14ac:dyDescent="0.25">
      <c r="C12" s="255"/>
      <c r="D12" s="140"/>
      <c r="E12" s="190"/>
      <c r="F12" s="8"/>
      <c r="G12" s="17"/>
      <c r="H12" s="17"/>
      <c r="I12" s="17"/>
      <c r="J12" s="17"/>
      <c r="K12" s="17"/>
      <c r="L12" s="17"/>
      <c r="M12" s="17"/>
    </row>
    <row r="13" spans="2:15" x14ac:dyDescent="0.25">
      <c r="C13" s="1564" t="s">
        <v>159</v>
      </c>
      <c r="D13" s="150" t="s">
        <v>101</v>
      </c>
      <c r="E13" s="150" t="s">
        <v>872</v>
      </c>
      <c r="F13" s="150"/>
      <c r="G13" s="264"/>
      <c r="H13" s="264"/>
      <c r="I13" s="264"/>
      <c r="J13" s="264"/>
      <c r="K13" s="264"/>
      <c r="L13" s="264"/>
      <c r="M13" s="264"/>
      <c r="N13" s="150"/>
      <c r="O13" s="237"/>
    </row>
    <row r="14" spans="2:15" x14ac:dyDescent="0.25">
      <c r="C14" s="1565"/>
      <c r="D14" s="17" t="s">
        <v>145</v>
      </c>
      <c r="E14" s="1242">
        <v>2</v>
      </c>
      <c r="F14" s="7" t="s">
        <v>146</v>
      </c>
      <c r="G14" s="17"/>
      <c r="H14" s="17"/>
      <c r="I14" s="17"/>
      <c r="J14" s="17"/>
      <c r="K14" s="17"/>
      <c r="L14" s="17"/>
      <c r="M14" s="17"/>
      <c r="N14" s="7"/>
      <c r="O14" s="6"/>
    </row>
    <row r="15" spans="2:15" x14ac:dyDescent="0.25">
      <c r="C15" s="1565"/>
      <c r="D15" s="17" t="s">
        <v>148</v>
      </c>
      <c r="E15" s="1242">
        <v>4</v>
      </c>
      <c r="F15" s="7" t="s">
        <v>147</v>
      </c>
      <c r="G15" s="17"/>
      <c r="H15" s="17"/>
      <c r="I15" s="17"/>
      <c r="J15" s="17"/>
      <c r="K15" s="17"/>
      <c r="L15" s="17"/>
      <c r="M15" s="17"/>
      <c r="N15" s="7"/>
      <c r="O15" s="6"/>
    </row>
    <row r="16" spans="2:15" x14ac:dyDescent="0.25">
      <c r="C16" s="1566"/>
      <c r="D16" s="265" t="s">
        <v>149</v>
      </c>
      <c r="E16" s="1245">
        <f>E15-E14</f>
        <v>2</v>
      </c>
      <c r="F16" s="245" t="s">
        <v>150</v>
      </c>
      <c r="G16" s="257"/>
      <c r="H16" s="257"/>
      <c r="I16" s="257"/>
      <c r="J16" s="257"/>
      <c r="K16" s="257"/>
      <c r="L16" s="257"/>
      <c r="M16" s="257"/>
      <c r="N16" s="245"/>
      <c r="O16" s="3"/>
    </row>
    <row r="17" spans="2:13" x14ac:dyDescent="0.25">
      <c r="C17" s="255"/>
      <c r="D17" s="17"/>
      <c r="E17" s="17"/>
      <c r="F17" s="7"/>
      <c r="G17" s="17"/>
      <c r="H17" s="189"/>
      <c r="I17" s="17"/>
      <c r="J17" s="17"/>
      <c r="K17" s="17"/>
      <c r="L17" s="17"/>
      <c r="M17" s="33"/>
    </row>
    <row r="18" spans="2:13" x14ac:dyDescent="0.25">
      <c r="C18" s="255"/>
      <c r="D18" s="17"/>
      <c r="E18" s="17"/>
      <c r="F18" s="7"/>
      <c r="G18" s="17"/>
      <c r="H18" s="189"/>
      <c r="I18" s="17"/>
      <c r="J18" s="17"/>
      <c r="K18" s="17"/>
      <c r="L18" s="17"/>
      <c r="M18" s="33"/>
    </row>
    <row r="19" spans="2:13" ht="15.75" thickBot="1" x14ac:dyDescent="0.3">
      <c r="C19" s="256"/>
      <c r="D19" s="140"/>
      <c r="E19" s="190"/>
      <c r="F19" s="8"/>
      <c r="G19" s="17"/>
      <c r="H19" s="17"/>
      <c r="I19" s="17"/>
      <c r="J19" s="17"/>
      <c r="K19" s="17"/>
      <c r="L19" s="17"/>
      <c r="M19" s="33"/>
    </row>
    <row r="20" spans="2:13" x14ac:dyDescent="0.25">
      <c r="C20" s="1567" t="s">
        <v>148</v>
      </c>
      <c r="D20" s="273" t="s">
        <v>160</v>
      </c>
      <c r="E20" s="274" t="s">
        <v>164</v>
      </c>
      <c r="F20" s="251" t="s">
        <v>162</v>
      </c>
      <c r="G20" s="251"/>
      <c r="H20" s="251"/>
      <c r="I20" s="249"/>
      <c r="J20" s="33"/>
      <c r="K20" s="33"/>
      <c r="L20" s="33"/>
      <c r="M20" s="33"/>
    </row>
    <row r="21" spans="2:13" x14ac:dyDescent="0.25">
      <c r="C21" s="1568"/>
      <c r="D21" s="17" t="s">
        <v>135</v>
      </c>
      <c r="E21" s="254">
        <v>4</v>
      </c>
      <c r="F21" s="17" t="s">
        <v>136</v>
      </c>
      <c r="G21" s="17"/>
      <c r="H21" s="17"/>
      <c r="I21" s="195"/>
      <c r="J21" s="33"/>
      <c r="K21" s="33"/>
      <c r="L21" s="33"/>
      <c r="M21" s="33"/>
    </row>
    <row r="22" spans="2:13" x14ac:dyDescent="0.25">
      <c r="C22" s="1568"/>
      <c r="D22" s="17" t="s">
        <v>5</v>
      </c>
      <c r="E22" s="1242">
        <v>166</v>
      </c>
      <c r="F22" s="17" t="s">
        <v>139</v>
      </c>
      <c r="G22" s="17"/>
      <c r="H22" s="17"/>
      <c r="I22" s="195"/>
      <c r="J22" s="33"/>
      <c r="K22" s="33"/>
      <c r="L22" s="33"/>
      <c r="M22" s="33"/>
    </row>
    <row r="23" spans="2:13" ht="15.75" thickBot="1" x14ac:dyDescent="0.3">
      <c r="C23" s="1569"/>
      <c r="D23" s="166" t="s">
        <v>137</v>
      </c>
      <c r="E23" s="275">
        <f>E22*LN(E21)</f>
        <v>230.12486394590184</v>
      </c>
      <c r="F23" s="166" t="s">
        <v>138</v>
      </c>
      <c r="G23" s="252"/>
      <c r="H23" s="252"/>
      <c r="I23" s="250"/>
      <c r="J23" s="33"/>
      <c r="K23" s="33"/>
      <c r="L23" s="33"/>
      <c r="M23" s="33"/>
    </row>
    <row r="27" spans="2:13" x14ac:dyDescent="0.25">
      <c r="B27" t="s">
        <v>894</v>
      </c>
    </row>
    <row r="28" spans="2:13" x14ac:dyDescent="0.25">
      <c r="B28" t="s">
        <v>891</v>
      </c>
    </row>
    <row r="30" spans="2:13" x14ac:dyDescent="0.25">
      <c r="B30" s="26" t="s">
        <v>882</v>
      </c>
    </row>
    <row r="31" spans="2:13" x14ac:dyDescent="0.25">
      <c r="B31" s="26" t="s">
        <v>889</v>
      </c>
    </row>
    <row r="32" spans="2:13" x14ac:dyDescent="0.25">
      <c r="B32" s="26" t="s">
        <v>890</v>
      </c>
    </row>
    <row r="33" spans="2:3" x14ac:dyDescent="0.25">
      <c r="B33" s="26" t="s">
        <v>883</v>
      </c>
    </row>
    <row r="34" spans="2:3" x14ac:dyDescent="0.25">
      <c r="B34" t="s">
        <v>884</v>
      </c>
    </row>
    <row r="35" spans="2:3" x14ac:dyDescent="0.25">
      <c r="B35" s="25" t="s">
        <v>875</v>
      </c>
      <c r="C35" s="1238" t="s">
        <v>873</v>
      </c>
    </row>
    <row r="36" spans="2:3" x14ac:dyDescent="0.25">
      <c r="B36" s="25" t="s">
        <v>876</v>
      </c>
      <c r="C36" s="1238" t="s">
        <v>874</v>
      </c>
    </row>
    <row r="39" spans="2:3" ht="31.5" x14ac:dyDescent="0.5">
      <c r="B39" s="186" t="s">
        <v>866</v>
      </c>
    </row>
    <row r="41" spans="2:3" x14ac:dyDescent="0.25">
      <c r="B41" t="s">
        <v>868</v>
      </c>
    </row>
    <row r="42" spans="2:3" x14ac:dyDescent="0.25">
      <c r="B42" t="s">
        <v>877</v>
      </c>
    </row>
    <row r="43" spans="2:3" x14ac:dyDescent="0.25">
      <c r="B43" t="s">
        <v>870</v>
      </c>
    </row>
    <row r="44" spans="2:3" x14ac:dyDescent="0.25">
      <c r="C44" t="s">
        <v>867</v>
      </c>
    </row>
    <row r="45" spans="2:3" x14ac:dyDescent="0.25">
      <c r="C45" t="s">
        <v>878</v>
      </c>
    </row>
    <row r="46" spans="2:3" x14ac:dyDescent="0.25">
      <c r="B46" t="s">
        <v>869</v>
      </c>
    </row>
    <row r="47" spans="2:3" x14ac:dyDescent="0.25">
      <c r="B47" t="s">
        <v>880</v>
      </c>
    </row>
    <row r="50" spans="2:2" x14ac:dyDescent="0.25">
      <c r="B50" t="s">
        <v>888</v>
      </c>
    </row>
    <row r="82" spans="2:28" x14ac:dyDescent="0.25">
      <c r="B82" t="s">
        <v>885</v>
      </c>
      <c r="N82" t="s">
        <v>892</v>
      </c>
      <c r="AB82" t="s">
        <v>887</v>
      </c>
    </row>
    <row r="83" spans="2:28" x14ac:dyDescent="0.25">
      <c r="B83" t="s">
        <v>864</v>
      </c>
      <c r="N83" t="s">
        <v>865</v>
      </c>
      <c r="AB83" t="s">
        <v>886</v>
      </c>
    </row>
  </sheetData>
  <mergeCells count="3">
    <mergeCell ref="C20:C23"/>
    <mergeCell ref="C8:C11"/>
    <mergeCell ref="C13:C16"/>
  </mergeCells>
  <hyperlinks>
    <hyperlink ref="C35" r:id="rId1" xr:uid="{8AE5D4BC-30EF-401C-9005-36DB64624AC3}"/>
    <hyperlink ref="C36" r:id="rId2" xr:uid="{FC77BE51-F706-41F7-9CE8-011EB9D844A3}"/>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Table of Contents</vt:lpstr>
      <vt:lpstr>Simple Example (Binary)</vt:lpstr>
      <vt:lpstr>Simple Example (Continuous)</vt:lpstr>
      <vt:lpstr>Portfolio Replication</vt:lpstr>
      <vt:lpstr>Futarchy</vt:lpstr>
      <vt:lpstr>Refunding Counterfactual Bets</vt:lpstr>
      <vt:lpstr>MV Scaled (Explicit)</vt:lpstr>
      <vt:lpstr>MV Scaled (Standard)</vt:lpstr>
      <vt:lpstr>Continuum Futarchy</vt:lpstr>
      <vt:lpstr>US Elections Example</vt:lpstr>
      <vt:lpstr>What is the LMSR</vt:lpstr>
      <vt:lpstr>Changing b mid-trading</vt:lpstr>
      <vt:lpstr>Liquidity Sensitivity</vt:lpstr>
      <vt:lpstr>Functions of Decisions</vt:lpstr>
      <vt:lpstr>Derivatives and Leverage</vt:lpstr>
      <vt:lpstr>Some Accounting Demonstrations</vt:lpstr>
      <vt:lpstr>Max Shares Outstanding</vt:lpstr>
      <vt:lpstr>Overround</vt:lpstr>
      <vt:lpstr>Overround w QMSR</vt:lpstr>
      <vt:lpstr>Blocksize Controversy</vt:lpstr>
      <vt:lpstr>Blocksize-usd-appendix</vt:lpstr>
      <vt:lpstr>Blocksize-appendix-2</vt:lpstr>
      <vt:lpstr>Conditional Charity</vt:lpstr>
      <vt:lpstr>Long Variability</vt:lpstr>
      <vt:lpstr>Insurance Fraud Experiments</vt:lpstr>
      <vt:lpstr>DistCalculator</vt:lpstr>
      <vt:lpstr>2x2 Update Calculator</vt:lpstr>
    </vt:vector>
  </TitlesOfParts>
  <Company>Faculty Support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Sztorc, Paul</dc:creator>
  <cp:lastModifiedBy>psztorc</cp:lastModifiedBy>
  <dcterms:created xsi:type="dcterms:W3CDTF">2013-11-06T14:19:02Z</dcterms:created>
  <dcterms:modified xsi:type="dcterms:W3CDTF">2020-07-18T23:23:54Z</dcterms:modified>
</cp:coreProperties>
</file>